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30" windowWidth="11175" windowHeight="11640" activeTab="4"/>
  </bookViews>
  <sheets>
    <sheet name="INDEX" sheetId="1" r:id="rId1"/>
    <sheet name="1" sheetId="3" r:id="rId2"/>
    <sheet name="2" sheetId="4" r:id="rId3"/>
    <sheet name="3" sheetId="7" r:id="rId4"/>
    <sheet name="4" sheetId="8" r:id="rId5"/>
    <sheet name="5" sheetId="5" r:id="rId6"/>
  </sheets>
  <calcPr calcId="125725"/>
</workbook>
</file>

<file path=xl/calcChain.xml><?xml version="1.0" encoding="utf-8"?>
<calcChain xmlns="http://schemas.openxmlformats.org/spreadsheetml/2006/main">
  <c r="E19" i="8"/>
  <c r="E27" s="1"/>
  <c r="F19"/>
  <c r="G19"/>
  <c r="H19"/>
  <c r="M35" s="1"/>
  <c r="I19"/>
  <c r="N35" s="1"/>
  <c r="E22"/>
  <c r="J36" s="1"/>
  <c r="F22"/>
  <c r="K36" s="1"/>
  <c r="G22"/>
  <c r="H22"/>
  <c r="I22"/>
  <c r="N36" s="1"/>
  <c r="E24"/>
  <c r="J37" s="1"/>
  <c r="F24"/>
  <c r="G24"/>
  <c r="H24"/>
  <c r="M37" s="1"/>
  <c r="I24"/>
  <c r="N37" s="1"/>
  <c r="F27"/>
  <c r="G27"/>
  <c r="I27"/>
  <c r="D27"/>
  <c r="I16"/>
  <c r="I13" s="1"/>
  <c r="N32" s="1"/>
  <c r="H16"/>
  <c r="G16"/>
  <c r="F16"/>
  <c r="F13" s="1"/>
  <c r="K32" s="1"/>
  <c r="H10"/>
  <c r="H8" s="1"/>
  <c r="H17" s="1"/>
  <c r="G10"/>
  <c r="G8" s="1"/>
  <c r="G17" s="1"/>
  <c r="E37" i="4"/>
  <c r="F37"/>
  <c r="G37"/>
  <c r="H37"/>
  <c r="I37"/>
  <c r="J37"/>
  <c r="K37"/>
  <c r="L37"/>
  <c r="M37"/>
  <c r="N37"/>
  <c r="O37"/>
  <c r="P37"/>
  <c r="D37"/>
  <c r="E44"/>
  <c r="F44"/>
  <c r="G44"/>
  <c r="H44"/>
  <c r="I44"/>
  <c r="J44"/>
  <c r="K44"/>
  <c r="L44"/>
  <c r="M44"/>
  <c r="N44"/>
  <c r="O44"/>
  <c r="P44"/>
  <c r="E83"/>
  <c r="F83"/>
  <c r="G83"/>
  <c r="H83"/>
  <c r="I83"/>
  <c r="J83"/>
  <c r="K83"/>
  <c r="L83"/>
  <c r="M83"/>
  <c r="N83"/>
  <c r="O83"/>
  <c r="P83"/>
  <c r="E74"/>
  <c r="F74"/>
  <c r="G74"/>
  <c r="H74"/>
  <c r="I74"/>
  <c r="J74"/>
  <c r="K74"/>
  <c r="L74"/>
  <c r="M74"/>
  <c r="N74"/>
  <c r="O74"/>
  <c r="P74"/>
  <c r="E64"/>
  <c r="F64"/>
  <c r="G64"/>
  <c r="H64"/>
  <c r="I64"/>
  <c r="J64"/>
  <c r="K64"/>
  <c r="L64"/>
  <c r="M64"/>
  <c r="N64"/>
  <c r="O64"/>
  <c r="P64"/>
  <c r="E23" i="5"/>
  <c r="F23"/>
  <c r="G23"/>
  <c r="H23"/>
  <c r="E24"/>
  <c r="F24"/>
  <c r="G24"/>
  <c r="H24"/>
  <c r="K37" i="8"/>
  <c r="L37"/>
  <c r="L36"/>
  <c r="M36"/>
  <c r="L35"/>
  <c r="D24"/>
  <c r="I37" s="1"/>
  <c r="D22"/>
  <c r="I36" s="1"/>
  <c r="D19"/>
  <c r="I35" s="1"/>
  <c r="E13"/>
  <c r="J32" s="1"/>
  <c r="G13"/>
  <c r="L32" s="1"/>
  <c r="H13"/>
  <c r="M32" s="1"/>
  <c r="D13"/>
  <c r="I32" s="1"/>
  <c r="D8"/>
  <c r="D36" i="7"/>
  <c r="D35"/>
  <c r="D34"/>
  <c r="D33"/>
  <c r="D32"/>
  <c r="D30"/>
  <c r="D29"/>
  <c r="D28"/>
  <c r="D27"/>
  <c r="D26"/>
  <c r="D24"/>
  <c r="D22"/>
  <c r="D21"/>
  <c r="D19"/>
  <c r="D18"/>
  <c r="D49" s="1"/>
  <c r="D12"/>
  <c r="D10"/>
  <c r="D9"/>
  <c r="D13" s="1"/>
  <c r="G15" i="3"/>
  <c r="H15"/>
  <c r="D15" s="1"/>
  <c r="I15"/>
  <c r="J15"/>
  <c r="K15"/>
  <c r="L15"/>
  <c r="M15"/>
  <c r="N15"/>
  <c r="O15"/>
  <c r="P15"/>
  <c r="Q15"/>
  <c r="F15"/>
  <c r="G16"/>
  <c r="H16"/>
  <c r="I16"/>
  <c r="J16"/>
  <c r="K16"/>
  <c r="L16"/>
  <c r="M16"/>
  <c r="N16"/>
  <c r="O16"/>
  <c r="P16"/>
  <c r="Q16"/>
  <c r="F16"/>
  <c r="D16" s="1"/>
  <c r="G25"/>
  <c r="H25"/>
  <c r="I25"/>
  <c r="J25"/>
  <c r="K25"/>
  <c r="M25"/>
  <c r="N25"/>
  <c r="O25"/>
  <c r="P25"/>
  <c r="Q25"/>
  <c r="G28"/>
  <c r="H28"/>
  <c r="I28"/>
  <c r="J28"/>
  <c r="K28"/>
  <c r="L28"/>
  <c r="M28"/>
  <c r="N28"/>
  <c r="O28"/>
  <c r="P28"/>
  <c r="Q28"/>
  <c r="F28"/>
  <c r="D28" s="1"/>
  <c r="G27"/>
  <c r="H27"/>
  <c r="I27"/>
  <c r="J27"/>
  <c r="K27"/>
  <c r="L27"/>
  <c r="M27"/>
  <c r="N27"/>
  <c r="O27"/>
  <c r="P27"/>
  <c r="Q27"/>
  <c r="F27"/>
  <c r="D27" s="1"/>
  <c r="G42"/>
  <c r="H42"/>
  <c r="I42"/>
  <c r="J42"/>
  <c r="K42"/>
  <c r="L42"/>
  <c r="M42"/>
  <c r="N42"/>
  <c r="O42"/>
  <c r="P42"/>
  <c r="Q42"/>
  <c r="F42"/>
  <c r="D42" s="1"/>
  <c r="G41"/>
  <c r="H41"/>
  <c r="I41"/>
  <c r="J41"/>
  <c r="K41"/>
  <c r="L41"/>
  <c r="M41"/>
  <c r="N41"/>
  <c r="O41"/>
  <c r="P41"/>
  <c r="Q41"/>
  <c r="F41"/>
  <c r="G40"/>
  <c r="H40"/>
  <c r="I40"/>
  <c r="J40"/>
  <c r="K40"/>
  <c r="L40"/>
  <c r="M40"/>
  <c r="N40"/>
  <c r="O40"/>
  <c r="P40"/>
  <c r="Q40"/>
  <c r="F40"/>
  <c r="G39"/>
  <c r="H39"/>
  <c r="I39"/>
  <c r="J39"/>
  <c r="K39"/>
  <c r="L39"/>
  <c r="M39"/>
  <c r="N39"/>
  <c r="O39"/>
  <c r="P39"/>
  <c r="Q39"/>
  <c r="F39"/>
  <c r="G38"/>
  <c r="H38"/>
  <c r="I38"/>
  <c r="J38"/>
  <c r="K38"/>
  <c r="L38"/>
  <c r="M38"/>
  <c r="N38"/>
  <c r="O38"/>
  <c r="P38"/>
  <c r="Q38"/>
  <c r="F38"/>
  <c r="D38" s="1"/>
  <c r="G36"/>
  <c r="H36"/>
  <c r="I36"/>
  <c r="J36"/>
  <c r="K36"/>
  <c r="L36"/>
  <c r="M36"/>
  <c r="N36"/>
  <c r="O36"/>
  <c r="P36"/>
  <c r="Q36"/>
  <c r="G35"/>
  <c r="H35"/>
  <c r="I35"/>
  <c r="J35"/>
  <c r="K35"/>
  <c r="L35"/>
  <c r="M35"/>
  <c r="N35"/>
  <c r="O35"/>
  <c r="P35"/>
  <c r="Q35"/>
  <c r="G34"/>
  <c r="H34"/>
  <c r="I34"/>
  <c r="J34"/>
  <c r="K34"/>
  <c r="L34"/>
  <c r="M34"/>
  <c r="N34"/>
  <c r="O34"/>
  <c r="P34"/>
  <c r="Q34"/>
  <c r="F36"/>
  <c r="D36" s="1"/>
  <c r="F35"/>
  <c r="F34"/>
  <c r="D34" s="1"/>
  <c r="G33"/>
  <c r="H33"/>
  <c r="I33"/>
  <c r="J33"/>
  <c r="K33"/>
  <c r="L33"/>
  <c r="M33"/>
  <c r="N33"/>
  <c r="O33"/>
  <c r="P33"/>
  <c r="Q33"/>
  <c r="F33"/>
  <c r="G32"/>
  <c r="H32"/>
  <c r="I32"/>
  <c r="J32"/>
  <c r="K32"/>
  <c r="L32"/>
  <c r="M32"/>
  <c r="N32"/>
  <c r="O32"/>
  <c r="P32"/>
  <c r="Q32"/>
  <c r="F32"/>
  <c r="D32" s="1"/>
  <c r="E50" i="4"/>
  <c r="F24" i="3" s="1"/>
  <c r="F50" i="4"/>
  <c r="F55" s="1"/>
  <c r="G50"/>
  <c r="H24" i="3" s="1"/>
  <c r="H50" i="4"/>
  <c r="H55" s="1"/>
  <c r="I50"/>
  <c r="J24" i="3" s="1"/>
  <c r="J50" i="4"/>
  <c r="J55" s="1"/>
  <c r="K50"/>
  <c r="L24" i="3" s="1"/>
  <c r="L50" i="4"/>
  <c r="L55" s="1"/>
  <c r="M50"/>
  <c r="N24" i="3" s="1"/>
  <c r="N50" i="4"/>
  <c r="N55" s="1"/>
  <c r="O50"/>
  <c r="P24" i="3" s="1"/>
  <c r="P50" i="4"/>
  <c r="P55" s="1"/>
  <c r="E51"/>
  <c r="F51"/>
  <c r="G51"/>
  <c r="H51"/>
  <c r="I51"/>
  <c r="J51"/>
  <c r="K51"/>
  <c r="L51"/>
  <c r="M51"/>
  <c r="N51"/>
  <c r="O51"/>
  <c r="P51"/>
  <c r="E52"/>
  <c r="F52"/>
  <c r="G52"/>
  <c r="H52"/>
  <c r="I52"/>
  <c r="J52"/>
  <c r="K52"/>
  <c r="L52"/>
  <c r="M52"/>
  <c r="N52"/>
  <c r="O52"/>
  <c r="P52"/>
  <c r="E53"/>
  <c r="F53"/>
  <c r="G53"/>
  <c r="H53"/>
  <c r="I53"/>
  <c r="J53"/>
  <c r="K53"/>
  <c r="L53"/>
  <c r="M53"/>
  <c r="N53"/>
  <c r="O53"/>
  <c r="P53"/>
  <c r="F33"/>
  <c r="F36" s="1"/>
  <c r="H33"/>
  <c r="H36" s="1"/>
  <c r="J33"/>
  <c r="J36" s="1"/>
  <c r="L33"/>
  <c r="L36" s="1"/>
  <c r="N33"/>
  <c r="N36" s="1"/>
  <c r="P33"/>
  <c r="P36" s="1"/>
  <c r="F30"/>
  <c r="G30"/>
  <c r="H30"/>
  <c r="I30"/>
  <c r="J30"/>
  <c r="K30"/>
  <c r="L30"/>
  <c r="M30"/>
  <c r="N30"/>
  <c r="O30"/>
  <c r="P30"/>
  <c r="F25"/>
  <c r="G25"/>
  <c r="H25"/>
  <c r="I25"/>
  <c r="J25"/>
  <c r="K25"/>
  <c r="L25"/>
  <c r="M25"/>
  <c r="N25"/>
  <c r="O25"/>
  <c r="P25"/>
  <c r="F20"/>
  <c r="G20"/>
  <c r="H20"/>
  <c r="I20"/>
  <c r="J20"/>
  <c r="K20"/>
  <c r="L20"/>
  <c r="M20"/>
  <c r="N20"/>
  <c r="O20"/>
  <c r="P20"/>
  <c r="E30"/>
  <c r="D30" s="1"/>
  <c r="E25"/>
  <c r="D25" s="1"/>
  <c r="E20"/>
  <c r="E15"/>
  <c r="D35"/>
  <c r="F34"/>
  <c r="G34"/>
  <c r="H34"/>
  <c r="I34"/>
  <c r="J34"/>
  <c r="K34"/>
  <c r="L34"/>
  <c r="M34"/>
  <c r="N34"/>
  <c r="O34"/>
  <c r="P34"/>
  <c r="E34"/>
  <c r="D34" s="1"/>
  <c r="D29"/>
  <c r="D24"/>
  <c r="D19"/>
  <c r="D14"/>
  <c r="D22"/>
  <c r="G33"/>
  <c r="G36" s="1"/>
  <c r="I33"/>
  <c r="I36" s="1"/>
  <c r="K33"/>
  <c r="K36" s="1"/>
  <c r="M33"/>
  <c r="M36" s="1"/>
  <c r="O33"/>
  <c r="O36" s="1"/>
  <c r="E33"/>
  <c r="F32"/>
  <c r="G32"/>
  <c r="H32"/>
  <c r="I32"/>
  <c r="J32"/>
  <c r="K32"/>
  <c r="L32"/>
  <c r="M32"/>
  <c r="N32"/>
  <c r="O32"/>
  <c r="P32"/>
  <c r="E32"/>
  <c r="D17"/>
  <c r="D18"/>
  <c r="D51" s="1"/>
  <c r="D23"/>
  <c r="D52" s="1"/>
  <c r="D27"/>
  <c r="D28"/>
  <c r="D53" s="1"/>
  <c r="D12"/>
  <c r="F15"/>
  <c r="G15"/>
  <c r="H15"/>
  <c r="I15"/>
  <c r="J15"/>
  <c r="K15"/>
  <c r="L15"/>
  <c r="M15"/>
  <c r="N15"/>
  <c r="O15"/>
  <c r="P15"/>
  <c r="D59"/>
  <c r="D62"/>
  <c r="D82"/>
  <c r="D81"/>
  <c r="D80"/>
  <c r="D79"/>
  <c r="D78"/>
  <c r="D73"/>
  <c r="D72"/>
  <c r="D71"/>
  <c r="D70"/>
  <c r="D69"/>
  <c r="D41"/>
  <c r="D42"/>
  <c r="D43"/>
  <c r="J47" i="3"/>
  <c r="J46"/>
  <c r="J40" i="7" s="1"/>
  <c r="J41" s="1"/>
  <c r="D41" i="3"/>
  <c r="D35"/>
  <c r="D33"/>
  <c r="D30"/>
  <c r="D18"/>
  <c r="Q7"/>
  <c r="H27" i="8" l="1"/>
  <c r="D17"/>
  <c r="L31"/>
  <c r="D19" i="3"/>
  <c r="D57" s="1"/>
  <c r="D16" i="5"/>
  <c r="E16" s="1"/>
  <c r="D40" i="7"/>
  <c r="D50"/>
  <c r="D48"/>
  <c r="D15" i="5"/>
  <c r="E15" s="1"/>
  <c r="M31" i="8"/>
  <c r="F10"/>
  <c r="F8" s="1"/>
  <c r="F17" s="1"/>
  <c r="I10"/>
  <c r="I8" s="1"/>
  <c r="I17" s="1"/>
  <c r="K31"/>
  <c r="E8"/>
  <c r="I31"/>
  <c r="J35"/>
  <c r="F15" i="5"/>
  <c r="H15"/>
  <c r="H16"/>
  <c r="F16"/>
  <c r="G16"/>
  <c r="G15"/>
  <c r="D32" i="4"/>
  <c r="D21" i="5" s="1"/>
  <c r="E21" s="1"/>
  <c r="Q24" i="3"/>
  <c r="O24"/>
  <c r="M24"/>
  <c r="K24"/>
  <c r="I24"/>
  <c r="G24"/>
  <c r="O55" i="4"/>
  <c r="M55"/>
  <c r="I55"/>
  <c r="G55"/>
  <c r="D17" i="5"/>
  <c r="D37" i="7"/>
  <c r="D41" s="1"/>
  <c r="D44" s="1"/>
  <c r="E10"/>
  <c r="E12"/>
  <c r="D39" i="3"/>
  <c r="D55" s="1"/>
  <c r="D40"/>
  <c r="D83" i="4"/>
  <c r="D64"/>
  <c r="K54"/>
  <c r="L25" i="3" s="1"/>
  <c r="D15" i="4"/>
  <c r="D13"/>
  <c r="D50" s="1"/>
  <c r="E54"/>
  <c r="F25" i="3" s="1"/>
  <c r="D20" i="4"/>
  <c r="D33"/>
  <c r="D36" s="1"/>
  <c r="E36"/>
  <c r="D74"/>
  <c r="D25" i="3" l="1"/>
  <c r="D24"/>
  <c r="D43" s="1"/>
  <c r="D47" s="1"/>
  <c r="J31" i="8"/>
  <c r="E17"/>
  <c r="D56" i="3"/>
  <c r="D58" s="1"/>
  <c r="D25" i="5"/>
  <c r="D18"/>
  <c r="D51" i="7"/>
  <c r="N31" i="8"/>
  <c r="D14" i="5"/>
  <c r="E17"/>
  <c r="G17"/>
  <c r="F17"/>
  <c r="H17"/>
  <c r="K55" i="4"/>
  <c r="F21" i="5"/>
  <c r="H21"/>
  <c r="G21"/>
  <c r="E55" i="4"/>
  <c r="E9" i="7"/>
  <c r="D45"/>
  <c r="M44" s="1"/>
  <c r="D19" i="5" s="1"/>
  <c r="D54" i="4"/>
  <c r="D55" s="1"/>
  <c r="D46" i="3"/>
  <c r="E16"/>
  <c r="E18"/>
  <c r="E15" l="1"/>
  <c r="E25" i="5"/>
  <c r="F25"/>
  <c r="G25"/>
  <c r="H25"/>
  <c r="E19"/>
  <c r="H19"/>
  <c r="F19"/>
  <c r="G19"/>
  <c r="E18"/>
  <c r="H18"/>
  <c r="G18"/>
  <c r="F18"/>
  <c r="D12"/>
  <c r="E14"/>
  <c r="H14"/>
  <c r="F14"/>
  <c r="G14"/>
  <c r="K35" i="8"/>
  <c r="D13" i="5"/>
  <c r="D22"/>
  <c r="D20"/>
  <c r="D50" i="3"/>
  <c r="D51" s="1"/>
  <c r="M50" s="1"/>
  <c r="D44" i="4"/>
  <c r="H12" i="5" l="1"/>
  <c r="F12"/>
  <c r="E12"/>
  <c r="G12"/>
  <c r="E13"/>
  <c r="H13"/>
  <c r="G13"/>
  <c r="F13"/>
  <c r="F22"/>
  <c r="H22"/>
  <c r="E22"/>
  <c r="G22"/>
  <c r="G20"/>
  <c r="E20"/>
  <c r="H20"/>
  <c r="F20"/>
</calcChain>
</file>

<file path=xl/sharedStrings.xml><?xml version="1.0" encoding="utf-8"?>
<sst xmlns="http://schemas.openxmlformats.org/spreadsheetml/2006/main" count="359" uniqueCount="154">
  <si>
    <t>INDEX</t>
  </si>
  <si>
    <t>TOTAL</t>
  </si>
  <si>
    <t>GENER</t>
  </si>
  <si>
    <t>FEBRER</t>
  </si>
  <si>
    <t>AGOST</t>
  </si>
  <si>
    <t>MARÇ</t>
  </si>
  <si>
    <t>ABRIL</t>
  </si>
  <si>
    <t>MAIG</t>
  </si>
  <si>
    <t>JUNY</t>
  </si>
  <si>
    <t>JULIOL</t>
  </si>
  <si>
    <t>SETEMBRE</t>
  </si>
  <si>
    <t>OCTUBRE</t>
  </si>
  <si>
    <t>NOVEMBRE</t>
  </si>
  <si>
    <t>DESEMBRE</t>
  </si>
  <si>
    <t>Total</t>
  </si>
  <si>
    <t>%</t>
  </si>
  <si>
    <t>DECEMBRE</t>
  </si>
  <si>
    <t>DESPESES</t>
  </si>
  <si>
    <t>I.V.A.</t>
  </si>
  <si>
    <t>Total unitats</t>
  </si>
  <si>
    <t>Devolucions</t>
  </si>
  <si>
    <t>Import de devolucions</t>
  </si>
  <si>
    <t>COMPRA</t>
  </si>
  <si>
    <t>DESPESA</t>
  </si>
  <si>
    <t>Despeses fixes</t>
  </si>
  <si>
    <t>Despeses variables</t>
  </si>
  <si>
    <t>x</t>
  </si>
  <si>
    <t>MARKETING</t>
  </si>
  <si>
    <t>Despeses comercials</t>
  </si>
  <si>
    <t>Despeses Generals (costos d'administració i direcció)</t>
  </si>
  <si>
    <t>DESPESES GENERALS</t>
  </si>
  <si>
    <t>PREVISIONAL</t>
  </si>
  <si>
    <t>Macario Llorente</t>
  </si>
  <si>
    <t>MSC Bikes</t>
  </si>
  <si>
    <t>Catlike</t>
  </si>
  <si>
    <t>Gurpil</t>
  </si>
  <si>
    <t>TRIC TALLER ESTAMPACIÓ</t>
  </si>
  <si>
    <t>NOSTRESPORT.COM</t>
  </si>
  <si>
    <t>QUALITYPOINT.ES</t>
  </si>
  <si>
    <t>BANNERS PUBLICITARIS</t>
  </si>
  <si>
    <t>MOVIMENTS FINANCERS</t>
  </si>
  <si>
    <t>CONSUM</t>
  </si>
  <si>
    <t>Al. COSTOS DE VENTA</t>
  </si>
  <si>
    <t>PERSONAL</t>
  </si>
  <si>
    <t>VARIABLES</t>
  </si>
  <si>
    <t>FIXOS</t>
  </si>
  <si>
    <t>AUTONOMS</t>
  </si>
  <si>
    <t>PUBLICITAT I PROMOCIÓ</t>
  </si>
  <si>
    <t>RELA. PUBLIQUES</t>
  </si>
  <si>
    <t>MATERIALS</t>
  </si>
  <si>
    <t>VIATGES I DESPESE RELACIONADES</t>
  </si>
  <si>
    <t>DIVERSOS</t>
  </si>
  <si>
    <t>DESPESES I+D</t>
  </si>
  <si>
    <t>HOSTING+DOMAIN</t>
  </si>
  <si>
    <t>ALTRES SERVEIS</t>
  </si>
  <si>
    <t>RESULTAT</t>
  </si>
  <si>
    <t>IMPOSTOS</t>
  </si>
  <si>
    <t>BENEFICI NET</t>
  </si>
  <si>
    <t>lliures d'interessos</t>
  </si>
  <si>
    <t>CAPITAL INICIAL TOTAL</t>
  </si>
  <si>
    <t>ACTIU</t>
  </si>
  <si>
    <t>TOTAL ACTIU</t>
  </si>
  <si>
    <t>INMOVILITZAT INTANGIBLE</t>
  </si>
  <si>
    <t>INMOVILITZAT MATERIAL</t>
  </si>
  <si>
    <t xml:space="preserve">PATRIMONI NET  </t>
  </si>
  <si>
    <t>CAPITAL</t>
  </si>
  <si>
    <t>2014</t>
  </si>
  <si>
    <t>ACTIU (total)</t>
  </si>
  <si>
    <t>PATRIMONI NET</t>
  </si>
  <si>
    <t>MARGE BRUT</t>
  </si>
  <si>
    <t>RESULTAT FINANCER</t>
  </si>
  <si>
    <t>VARIACIONS EN %</t>
  </si>
  <si>
    <t>PREUS DE VENDA</t>
  </si>
  <si>
    <t>COST CONSUM</t>
  </si>
  <si>
    <t>DESPESES PERSONALS</t>
  </si>
  <si>
    <t>TOTAL DESPESES DE L'ANY</t>
  </si>
  <si>
    <t>Rajapack</t>
  </si>
  <si>
    <t>FALTA PER PAGAR</t>
  </si>
  <si>
    <t>20.000 € 48 mesos a 456€/mes</t>
  </si>
  <si>
    <t>Credit BEI/ICO a 48 mesos interessos del 4,7% a pagar 456€/mensuals</t>
  </si>
  <si>
    <t>IMPORT DEVOLUCIONS</t>
  </si>
  <si>
    <t xml:space="preserve">CONCEPTE </t>
  </si>
  <si>
    <t>INGRESSOS TOTALS</t>
  </si>
  <si>
    <t>PRESTEC PAGAT AQUEST ANY</t>
  </si>
  <si>
    <t>RESULTAT ABANS DELS IMPOSTOS</t>
  </si>
  <si>
    <t>INMOVILITZAT FINANCER</t>
  </si>
  <si>
    <t>CLIENTS</t>
  </si>
  <si>
    <t>TRESORERIA</t>
  </si>
  <si>
    <t>DEUTES A LLARG TERMINI</t>
  </si>
  <si>
    <t>DEUTES CURT TERMINI</t>
  </si>
  <si>
    <t>BALANÇOS PREVISIONALS (5 ANYS)</t>
  </si>
  <si>
    <t>ACTIU NO CORRENT</t>
  </si>
  <si>
    <t>ACTIU CORRENT</t>
  </si>
  <si>
    <t>PASSIU NO CORRENT</t>
  </si>
  <si>
    <t>PASSIU CORRENT</t>
  </si>
  <si>
    <t>Actiu No Corrent</t>
  </si>
  <si>
    <t>Actiu Corrent</t>
  </si>
  <si>
    <t>Patrimoni Net</t>
  </si>
  <si>
    <t>Passiu No Corrent</t>
  </si>
  <si>
    <t>Passiu Corrent</t>
  </si>
  <si>
    <t>PASIU</t>
  </si>
  <si>
    <t>AMORTITZACIÓ</t>
  </si>
  <si>
    <t>VIATGES I DESPESES RELACIONADES</t>
  </si>
  <si>
    <t>ASSEGURANCES</t>
  </si>
  <si>
    <r>
      <t>DADES PLA 1</t>
    </r>
    <r>
      <rPr>
        <vertAlign val="superscript"/>
        <sz val="16"/>
        <color theme="1"/>
        <rFont val="Calibri"/>
        <family val="2"/>
        <scheme val="minor"/>
      </rPr>
      <t>er</t>
    </r>
    <r>
      <rPr>
        <sz val="16"/>
        <color theme="1"/>
        <rFont val="Calibri"/>
        <family val="2"/>
        <scheme val="minor"/>
      </rPr>
      <t xml:space="preserve"> ANY</t>
    </r>
  </si>
  <si>
    <t>ANYS SEGÜENTS</t>
  </si>
  <si>
    <t>ANÀLISI DEL ESCENARI</t>
  </si>
  <si>
    <t>ANÀLISI DE SENSIBILITAT I RISC</t>
  </si>
  <si>
    <t>INGRESSOS I DESPESES (previsionals)</t>
  </si>
  <si>
    <t>INGRESSOS</t>
  </si>
  <si>
    <t>VENDES</t>
  </si>
  <si>
    <t>VENDA BRUTA</t>
  </si>
  <si>
    <t>ALTRES INGRESSOS</t>
  </si>
  <si>
    <t>TOTAL INGRESSOS DE L'ANY</t>
  </si>
  <si>
    <t>PROVEÏDORS COMPONENTS</t>
  </si>
  <si>
    <t>PROVEÏDOR MATERIAL EMBALATGE</t>
  </si>
  <si>
    <t>RELA. PÚBLIQUES</t>
  </si>
  <si>
    <t>S. Professionals (assessories legal/laboral)</t>
  </si>
  <si>
    <t>PRÈSTEC PAGAT AQUEST ANY</t>
  </si>
  <si>
    <t>INGRESSOS I DESPESES</t>
  </si>
  <si>
    <t>Vendes Macario Llorente</t>
  </si>
  <si>
    <t>Unitats</t>
  </si>
  <si>
    <t>Venda bruta</t>
  </si>
  <si>
    <t>Vendes MSC Bikes</t>
  </si>
  <si>
    <t>Vendes Catlike</t>
  </si>
  <si>
    <t>Vendes Gurpil</t>
  </si>
  <si>
    <t>TOTAL VENDES</t>
  </si>
  <si>
    <t>Total venda Bruta</t>
  </si>
  <si>
    <t>Venda menys devolucions</t>
  </si>
  <si>
    <t>Altres ingressos (banners/publicitat)</t>
  </si>
  <si>
    <t>Compra i existències (Consum de material per a la venda)</t>
  </si>
  <si>
    <t>Despeses de vendes</t>
  </si>
  <si>
    <t>BALANÇOS</t>
  </si>
  <si>
    <t>EXISTÈNCIES</t>
  </si>
  <si>
    <t>CREDITORS COMERCIALS</t>
  </si>
  <si>
    <t>PATRIMONI NET I PASSIU</t>
  </si>
  <si>
    <t>TOTAL NET I PASSIU</t>
  </si>
  <si>
    <t>PASSIU</t>
  </si>
  <si>
    <t>PASSIU (total)</t>
  </si>
  <si>
    <t>INGRESSOS ORDINARIS</t>
  </si>
  <si>
    <t>COST DE VENDES</t>
  </si>
  <si>
    <t>VENDES EN UNITATS</t>
  </si>
  <si>
    <t>ALTRES DESPESES OPERATIVES</t>
  </si>
  <si>
    <t>PARÀMETRES DELS 4 ESCENARIS</t>
  </si>
  <si>
    <t>Costos Fixos</t>
  </si>
  <si>
    <t>Costos Variables</t>
  </si>
  <si>
    <t>Punt Mort</t>
  </si>
  <si>
    <r>
      <t>PLA DE TRESORERIA 2013 (1</t>
    </r>
    <r>
      <rPr>
        <vertAlign val="superscript"/>
        <sz val="24"/>
        <color rgb="FF006100"/>
        <rFont val="Calibri"/>
        <family val="2"/>
        <scheme val="minor"/>
      </rPr>
      <t>er</t>
    </r>
    <r>
      <rPr>
        <sz val="24"/>
        <color rgb="FF006100"/>
        <rFont val="Calibri"/>
        <family val="2"/>
        <scheme val="minor"/>
      </rPr>
      <t xml:space="preserve"> ANY)</t>
    </r>
  </si>
  <si>
    <r>
      <t>PLA DE TRESORERIA 2014 (2</t>
    </r>
    <r>
      <rPr>
        <vertAlign val="superscript"/>
        <sz val="24"/>
        <color rgb="FF006100"/>
        <rFont val="Calibri"/>
        <family val="2"/>
        <scheme val="minor"/>
      </rPr>
      <t>on</t>
    </r>
    <r>
      <rPr>
        <sz val="24"/>
        <color rgb="FF006100"/>
        <rFont val="Calibri"/>
        <family val="2"/>
        <scheme val="minor"/>
      </rPr>
      <t xml:space="preserve"> ANY)</t>
    </r>
  </si>
  <si>
    <r>
      <t>TRESORERIA 2</t>
    </r>
    <r>
      <rPr>
        <u/>
        <vertAlign val="superscript"/>
        <sz val="11"/>
        <color theme="10"/>
        <rFont val="Calibri"/>
        <family val="2"/>
      </rPr>
      <t>on</t>
    </r>
    <r>
      <rPr>
        <u/>
        <sz val="11"/>
        <color theme="10"/>
        <rFont val="Calibri"/>
        <family val="2"/>
      </rPr>
      <t xml:space="preserve"> ANY</t>
    </r>
  </si>
  <si>
    <r>
      <t>TRESORERIA  1</t>
    </r>
    <r>
      <rPr>
        <u/>
        <vertAlign val="superscript"/>
        <sz val="11"/>
        <color theme="10"/>
        <rFont val="Calibri"/>
        <family val="2"/>
      </rPr>
      <t>er</t>
    </r>
    <r>
      <rPr>
        <u/>
        <sz val="11"/>
        <color theme="10"/>
        <rFont val="Calibri"/>
        <family val="2"/>
      </rPr>
      <t xml:space="preserve"> ANY</t>
    </r>
  </si>
  <si>
    <t>CAPITAL FONS PROPI</t>
  </si>
  <si>
    <t>CAPITAL FINANCIAT</t>
  </si>
  <si>
    <t>RESERVES i RESULTATS DE L'EXERCICI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</si>
</sst>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</numFmts>
  <fonts count="3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rgb="FF0061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name val="Tahoma"/>
      <family val="2"/>
    </font>
    <font>
      <b/>
      <sz val="11"/>
      <color indexed="43"/>
      <name val="Calibri"/>
      <family val="2"/>
      <scheme val="minor"/>
    </font>
    <font>
      <b/>
      <sz val="16"/>
      <color indexed="43"/>
      <name val="Calibri"/>
      <family val="2"/>
      <scheme val="minor"/>
    </font>
    <font>
      <b/>
      <sz val="26"/>
      <color indexed="4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6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26"/>
      <color rgb="FF9C0006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u/>
      <vertAlign val="superscript"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vertAlign val="superscript"/>
      <sz val="24"/>
      <color rgb="FF0061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15" borderId="21" applyNumberFormat="0" applyAlignment="0" applyProtection="0"/>
    <xf numFmtId="0" fontId="18" fillId="16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19" borderId="31" applyNumberFormat="0" applyFont="0" applyAlignment="0" applyProtection="0"/>
    <xf numFmtId="44" fontId="23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 applyBorder="1" applyAlignment="1"/>
    <xf numFmtId="0" fontId="1" fillId="2" borderId="0" xfId="1"/>
    <xf numFmtId="0" fontId="0" fillId="0" borderId="0" xfId="0" applyBorder="1"/>
    <xf numFmtId="0" fontId="5" fillId="2" borderId="0" xfId="1" applyFont="1"/>
    <xf numFmtId="0" fontId="2" fillId="3" borderId="13" xfId="2" applyBorder="1"/>
    <xf numFmtId="0" fontId="6" fillId="0" borderId="0" xfId="0" applyFont="1"/>
    <xf numFmtId="0" fontId="0" fillId="0" borderId="0" xfId="0" applyFont="1"/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12" borderId="0" xfId="0" applyFont="1" applyFill="1"/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2" fillId="3" borderId="11" xfId="2" applyBorder="1"/>
    <xf numFmtId="0" fontId="2" fillId="3" borderId="12" xfId="2" applyBorder="1"/>
    <xf numFmtId="0" fontId="0" fillId="0" borderId="0" xfId="0" applyBorder="1" applyAlignment="1">
      <alignment vertical="center"/>
    </xf>
    <xf numFmtId="0" fontId="2" fillId="3" borderId="10" xfId="2" applyBorder="1" applyAlignment="1">
      <alignment horizontal="center" vertical="center"/>
    </xf>
    <xf numFmtId="0" fontId="2" fillId="3" borderId="11" xfId="2" applyBorder="1" applyAlignment="1">
      <alignment horizontal="center"/>
    </xf>
    <xf numFmtId="0" fontId="2" fillId="3" borderId="12" xfId="2" applyBorder="1" applyAlignment="1">
      <alignment horizontal="center"/>
    </xf>
    <xf numFmtId="0" fontId="2" fillId="3" borderId="13" xfId="2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16" borderId="0" xfId="4"/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4" xfId="0" applyBorder="1" applyAlignment="1"/>
    <xf numFmtId="9" fontId="0" fillId="0" borderId="0" xfId="0" applyNumberFormat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2" fillId="3" borderId="12" xfId="2" applyBorder="1" applyAlignment="1">
      <alignment horizontal="center" vertical="center"/>
    </xf>
    <xf numFmtId="0" fontId="2" fillId="3" borderId="13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14" fontId="2" fillId="3" borderId="10" xfId="2" applyNumberFormat="1" applyBorder="1" applyAlignment="1">
      <alignment horizontal="center" vertical="center"/>
    </xf>
    <xf numFmtId="14" fontId="2" fillId="3" borderId="10" xfId="2" applyNumberFormat="1" applyBorder="1" applyAlignment="1">
      <alignment horizontal="center"/>
    </xf>
    <xf numFmtId="9" fontId="2" fillId="3" borderId="10" xfId="2" applyNumberForma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11" fillId="1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2" fillId="3" borderId="11" xfId="2" applyNumberFormat="1" applyBorder="1" applyAlignment="1">
      <alignment horizontal="center"/>
    </xf>
    <xf numFmtId="164" fontId="7" fillId="11" borderId="10" xfId="0" applyNumberFormat="1" applyFont="1" applyFill="1" applyBorder="1" applyAlignment="1">
      <alignment horizontal="center" vertical="center"/>
    </xf>
    <xf numFmtId="164" fontId="2" fillId="3" borderId="10" xfId="2" applyNumberFormat="1" applyBorder="1"/>
    <xf numFmtId="164" fontId="2" fillId="3" borderId="10" xfId="2" applyNumberFormat="1" applyBorder="1" applyAlignment="1">
      <alignment horizontal="center" vertical="center"/>
    </xf>
    <xf numFmtId="1" fontId="2" fillId="3" borderId="10" xfId="2" applyNumberFormat="1" applyBorder="1" applyAlignment="1">
      <alignment horizontal="center" vertical="center"/>
    </xf>
    <xf numFmtId="0" fontId="0" fillId="19" borderId="10" xfId="6" applyFont="1" applyBorder="1" applyAlignment="1">
      <alignment horizontal="center" vertical="center"/>
    </xf>
    <xf numFmtId="164" fontId="0" fillId="19" borderId="10" xfId="6" applyNumberFormat="1" applyFont="1" applyBorder="1" applyAlignment="1">
      <alignment horizontal="center" vertical="center"/>
    </xf>
    <xf numFmtId="164" fontId="8" fillId="2" borderId="11" xfId="1" applyNumberFormat="1" applyFont="1" applyBorder="1" applyAlignment="1">
      <alignment horizontal="center"/>
    </xf>
    <xf numFmtId="164" fontId="8" fillId="2" borderId="11" xfId="1" applyNumberFormat="1" applyFont="1" applyBorder="1" applyAlignment="1">
      <alignment horizontal="center" vertical="center"/>
    </xf>
    <xf numFmtId="0" fontId="8" fillId="2" borderId="11" xfId="1" applyFont="1" applyBorder="1" applyAlignment="1">
      <alignment horizontal="center" vertical="center"/>
    </xf>
    <xf numFmtId="164" fontId="0" fillId="0" borderId="0" xfId="0" applyNumberFormat="1"/>
    <xf numFmtId="164" fontId="8" fillId="0" borderId="0" xfId="0" applyNumberFormat="1" applyFont="1" applyAlignment="1">
      <alignment horizontal="center" vertical="center"/>
    </xf>
    <xf numFmtId="0" fontId="0" fillId="0" borderId="0" xfId="0" quotePrefix="1"/>
    <xf numFmtId="164" fontId="7" fillId="11" borderId="1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30" xfId="0" applyBorder="1" applyAlignment="1"/>
    <xf numFmtId="0" fontId="22" fillId="0" borderId="7" xfId="5" applyBorder="1" applyAlignment="1" applyProtection="1">
      <alignment horizontal="center" vertical="center"/>
    </xf>
    <xf numFmtId="0" fontId="22" fillId="0" borderId="8" xfId="5" applyBorder="1" applyAlignment="1" applyProtection="1">
      <alignment horizontal="center" vertical="center"/>
    </xf>
    <xf numFmtId="0" fontId="22" fillId="0" borderId="9" xfId="5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horizontal="center" vertical="center"/>
    </xf>
    <xf numFmtId="164" fontId="28" fillId="6" borderId="12" xfId="0" applyNumberFormat="1" applyFont="1" applyFill="1" applyBorder="1" applyAlignment="1">
      <alignment horizontal="center" vertical="center"/>
    </xf>
    <xf numFmtId="164" fontId="28" fillId="6" borderId="13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4" fontId="28" fillId="20" borderId="10" xfId="0" applyNumberFormat="1" applyFont="1" applyFill="1" applyBorder="1" applyAlignment="1">
      <alignment horizontal="center" vertical="center"/>
    </xf>
    <xf numFmtId="164" fontId="28" fillId="14" borderId="10" xfId="0" applyNumberFormat="1" applyFont="1" applyFill="1" applyBorder="1" applyAlignment="1">
      <alignment horizontal="center" vertical="center"/>
    </xf>
    <xf numFmtId="164" fontId="28" fillId="6" borderId="10" xfId="0" applyNumberFormat="1" applyFont="1" applyFill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165" fontId="27" fillId="0" borderId="12" xfId="0" applyNumberFormat="1" applyFon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5" fillId="2" borderId="0" xfId="1" applyFont="1" applyAlignment="1">
      <alignment horizontal="left" vertical="center"/>
    </xf>
    <xf numFmtId="164" fontId="13" fillId="10" borderId="1" xfId="0" applyNumberFormat="1" applyFont="1" applyFill="1" applyBorder="1" applyAlignment="1">
      <alignment horizontal="center" vertical="center"/>
    </xf>
    <xf numFmtId="164" fontId="11" fillId="10" borderId="2" xfId="0" applyNumberFormat="1" applyFont="1" applyFill="1" applyBorder="1" applyAlignment="1">
      <alignment horizontal="center" vertical="center"/>
    </xf>
    <xf numFmtId="164" fontId="11" fillId="10" borderId="3" xfId="0" applyNumberFormat="1" applyFont="1" applyFill="1" applyBorder="1" applyAlignment="1">
      <alignment horizontal="center" vertical="center"/>
    </xf>
    <xf numFmtId="164" fontId="11" fillId="10" borderId="17" xfId="0" applyNumberFormat="1" applyFont="1" applyFill="1" applyBorder="1" applyAlignment="1">
      <alignment horizontal="center" vertical="center"/>
    </xf>
    <xf numFmtId="164" fontId="11" fillId="10" borderId="0" xfId="0" applyNumberFormat="1" applyFont="1" applyFill="1" applyBorder="1" applyAlignment="1">
      <alignment horizontal="center" vertical="center"/>
    </xf>
    <xf numFmtId="164" fontId="11" fillId="10" borderId="18" xfId="0" applyNumberFormat="1" applyFont="1" applyFill="1" applyBorder="1" applyAlignment="1">
      <alignment horizontal="center" vertical="center"/>
    </xf>
    <xf numFmtId="164" fontId="11" fillId="10" borderId="4" xfId="0" applyNumberFormat="1" applyFont="1" applyFill="1" applyBorder="1" applyAlignment="1">
      <alignment horizontal="center" vertical="center"/>
    </xf>
    <xf numFmtId="164" fontId="11" fillId="10" borderId="5" xfId="0" applyNumberFormat="1" applyFont="1" applyFill="1" applyBorder="1" applyAlignment="1">
      <alignment horizontal="center" vertical="center"/>
    </xf>
    <xf numFmtId="164" fontId="11" fillId="10" borderId="6" xfId="0" applyNumberFormat="1" applyFont="1" applyFill="1" applyBorder="1" applyAlignment="1">
      <alignment horizontal="center" vertical="center"/>
    </xf>
    <xf numFmtId="0" fontId="13" fillId="10" borderId="1" xfId="0" applyNumberFormat="1" applyFont="1" applyFill="1" applyBorder="1" applyAlignment="1">
      <alignment horizontal="center" vertical="center"/>
    </xf>
    <xf numFmtId="49" fontId="11" fillId="10" borderId="2" xfId="0" applyNumberFormat="1" applyFont="1" applyFill="1" applyBorder="1" applyAlignment="1">
      <alignment horizontal="center" vertical="center"/>
    </xf>
    <xf numFmtId="49" fontId="11" fillId="10" borderId="3" xfId="0" applyNumberFormat="1" applyFont="1" applyFill="1" applyBorder="1" applyAlignment="1">
      <alignment horizontal="center" vertical="center"/>
    </xf>
    <xf numFmtId="49" fontId="11" fillId="10" borderId="17" xfId="0" applyNumberFormat="1" applyFont="1" applyFill="1" applyBorder="1" applyAlignment="1">
      <alignment horizontal="center" vertical="center"/>
    </xf>
    <xf numFmtId="49" fontId="11" fillId="10" borderId="0" xfId="0" applyNumberFormat="1" applyFont="1" applyFill="1" applyBorder="1" applyAlignment="1">
      <alignment horizontal="center" vertical="center"/>
    </xf>
    <xf numFmtId="49" fontId="11" fillId="10" borderId="18" xfId="0" applyNumberFormat="1" applyFont="1" applyFill="1" applyBorder="1" applyAlignment="1">
      <alignment horizontal="center" vertical="center"/>
    </xf>
    <xf numFmtId="49" fontId="11" fillId="10" borderId="4" xfId="0" applyNumberFormat="1" applyFont="1" applyFill="1" applyBorder="1" applyAlignment="1">
      <alignment horizontal="center" vertical="center"/>
    </xf>
    <xf numFmtId="49" fontId="11" fillId="10" borderId="5" xfId="0" applyNumberFormat="1" applyFont="1" applyFill="1" applyBorder="1" applyAlignment="1">
      <alignment horizontal="center" vertical="center"/>
    </xf>
    <xf numFmtId="49" fontId="11" fillId="10" borderId="6" xfId="0" applyNumberFormat="1" applyFont="1" applyFill="1" applyBorder="1" applyAlignment="1">
      <alignment horizontal="center" vertical="center"/>
    </xf>
    <xf numFmtId="0" fontId="20" fillId="2" borderId="11" xfId="1" applyFont="1" applyBorder="1" applyAlignment="1">
      <alignment horizontal="center" vertical="center"/>
    </xf>
    <xf numFmtId="0" fontId="20" fillId="2" borderId="12" xfId="1" applyFont="1" applyBorder="1" applyAlignment="1">
      <alignment horizontal="center" vertical="center"/>
    </xf>
    <xf numFmtId="0" fontId="20" fillId="2" borderId="13" xfId="1" applyFont="1" applyBorder="1" applyAlignment="1">
      <alignment horizontal="center" vertical="center"/>
    </xf>
    <xf numFmtId="164" fontId="20" fillId="2" borderId="11" xfId="1" applyNumberFormat="1" applyFont="1" applyBorder="1" applyAlignment="1">
      <alignment horizontal="center"/>
    </xf>
    <xf numFmtId="164" fontId="20" fillId="2" borderId="12" xfId="1" applyNumberFormat="1" applyFont="1" applyBorder="1" applyAlignment="1">
      <alignment horizontal="center"/>
    </xf>
    <xf numFmtId="164" fontId="20" fillId="2" borderId="13" xfId="1" applyNumberFormat="1" applyFont="1" applyBorder="1" applyAlignment="1">
      <alignment horizontal="center"/>
    </xf>
    <xf numFmtId="0" fontId="20" fillId="2" borderId="11" xfId="1" applyFont="1" applyBorder="1" applyAlignment="1">
      <alignment horizontal="center"/>
    </xf>
    <xf numFmtId="0" fontId="20" fillId="2" borderId="12" xfId="1" applyFont="1" applyBorder="1" applyAlignment="1">
      <alignment horizontal="center"/>
    </xf>
    <xf numFmtId="0" fontId="20" fillId="2" borderId="13" xfId="1" applyFont="1" applyBorder="1" applyAlignment="1">
      <alignment horizontal="center"/>
    </xf>
    <xf numFmtId="0" fontId="8" fillId="7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49" fontId="11" fillId="10" borderId="10" xfId="0" applyNumberFormat="1" applyFont="1" applyFill="1" applyBorder="1" applyAlignment="1">
      <alignment horizontal="center" vertical="center"/>
    </xf>
    <xf numFmtId="49" fontId="11" fillId="10" borderId="11" xfId="0" applyNumberFormat="1" applyFont="1" applyFill="1" applyBorder="1" applyAlignment="1">
      <alignment horizontal="center" vertical="center"/>
    </xf>
    <xf numFmtId="0" fontId="2" fillId="3" borderId="10" xfId="2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49" fontId="12" fillId="10" borderId="1" xfId="0" applyNumberFormat="1" applyFont="1" applyFill="1" applyBorder="1" applyAlignment="1">
      <alignment horizontal="center" vertical="center"/>
    </xf>
    <xf numFmtId="49" fontId="12" fillId="10" borderId="2" xfId="0" applyNumberFormat="1" applyFont="1" applyFill="1" applyBorder="1" applyAlignment="1">
      <alignment horizontal="center" vertical="center"/>
    </xf>
    <xf numFmtId="49" fontId="12" fillId="10" borderId="3" xfId="0" applyNumberFormat="1" applyFont="1" applyFill="1" applyBorder="1" applyAlignment="1">
      <alignment horizontal="center" vertical="center"/>
    </xf>
    <xf numFmtId="49" fontId="12" fillId="10" borderId="4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/>
    </xf>
    <xf numFmtId="49" fontId="12" fillId="10" borderId="6" xfId="0" applyNumberFormat="1" applyFont="1" applyFill="1" applyBorder="1" applyAlignment="1">
      <alignment horizontal="center" vertical="center"/>
    </xf>
    <xf numFmtId="44" fontId="17" fillId="9" borderId="17" xfId="7" applyFont="1" applyFill="1" applyBorder="1" applyAlignment="1">
      <alignment horizontal="center" vertical="center"/>
    </xf>
    <xf numFmtId="44" fontId="17" fillId="9" borderId="0" xfId="7" applyFont="1" applyFill="1" applyBorder="1" applyAlignment="1">
      <alignment horizontal="center" vertical="center"/>
    </xf>
    <xf numFmtId="44" fontId="17" fillId="9" borderId="18" xfId="7" applyFont="1" applyFill="1" applyBorder="1" applyAlignment="1">
      <alignment horizontal="center" vertical="center"/>
    </xf>
    <xf numFmtId="44" fontId="17" fillId="9" borderId="4" xfId="7" applyFont="1" applyFill="1" applyBorder="1" applyAlignment="1">
      <alignment horizontal="center" vertical="center"/>
    </xf>
    <xf numFmtId="44" fontId="17" fillId="9" borderId="5" xfId="7" applyFont="1" applyFill="1" applyBorder="1" applyAlignment="1">
      <alignment horizontal="center" vertical="center"/>
    </xf>
    <xf numFmtId="44" fontId="17" fillId="9" borderId="6" xfId="7" applyFont="1" applyFill="1" applyBorder="1" applyAlignment="1">
      <alignment horizontal="center" vertical="center"/>
    </xf>
    <xf numFmtId="49" fontId="11" fillId="10" borderId="1" xfId="0" applyNumberFormat="1" applyFont="1" applyFill="1" applyBorder="1" applyAlignment="1">
      <alignment horizontal="center" vertical="center"/>
    </xf>
    <xf numFmtId="44" fontId="13" fillId="10" borderId="1" xfId="7" applyFont="1" applyFill="1" applyBorder="1" applyAlignment="1">
      <alignment horizontal="center" vertical="center"/>
    </xf>
    <xf numFmtId="44" fontId="11" fillId="10" borderId="2" xfId="7" applyFont="1" applyFill="1" applyBorder="1" applyAlignment="1">
      <alignment horizontal="center" vertical="center"/>
    </xf>
    <xf numFmtId="44" fontId="11" fillId="10" borderId="3" xfId="7" applyFont="1" applyFill="1" applyBorder="1" applyAlignment="1">
      <alignment horizontal="center" vertical="center"/>
    </xf>
    <xf numFmtId="44" fontId="11" fillId="10" borderId="17" xfId="7" applyFont="1" applyFill="1" applyBorder="1" applyAlignment="1">
      <alignment horizontal="center" vertical="center"/>
    </xf>
    <xf numFmtId="44" fontId="11" fillId="10" borderId="0" xfId="7" applyFont="1" applyFill="1" applyBorder="1" applyAlignment="1">
      <alignment horizontal="center" vertical="center"/>
    </xf>
    <xf numFmtId="44" fontId="11" fillId="10" borderId="18" xfId="7" applyFont="1" applyFill="1" applyBorder="1" applyAlignment="1">
      <alignment horizontal="center" vertical="center"/>
    </xf>
    <xf numFmtId="44" fontId="11" fillId="10" borderId="4" xfId="7" applyFont="1" applyFill="1" applyBorder="1" applyAlignment="1">
      <alignment horizontal="center" vertical="center"/>
    </xf>
    <xf numFmtId="44" fontId="11" fillId="10" borderId="5" xfId="7" applyFont="1" applyFill="1" applyBorder="1" applyAlignment="1">
      <alignment horizontal="center" vertical="center"/>
    </xf>
    <xf numFmtId="44" fontId="11" fillId="10" borderId="6" xfId="7" applyFont="1" applyFill="1" applyBorder="1" applyAlignment="1">
      <alignment horizontal="center" vertical="center"/>
    </xf>
    <xf numFmtId="164" fontId="15" fillId="6" borderId="10" xfId="0" applyNumberFormat="1" applyFont="1" applyFill="1" applyBorder="1" applyAlignment="1">
      <alignment horizontal="center" vertical="center"/>
    </xf>
    <xf numFmtId="164" fontId="19" fillId="17" borderId="11" xfId="0" applyNumberFormat="1" applyFont="1" applyFill="1" applyBorder="1" applyAlignment="1">
      <alignment horizontal="center"/>
    </xf>
    <xf numFmtId="164" fontId="19" fillId="17" borderId="12" xfId="0" applyNumberFormat="1" applyFont="1" applyFill="1" applyBorder="1" applyAlignment="1">
      <alignment horizontal="center"/>
    </xf>
    <xf numFmtId="164" fontId="19" fillId="17" borderId="13" xfId="0" applyNumberFormat="1" applyFont="1" applyFill="1" applyBorder="1" applyAlignment="1">
      <alignment horizontal="center"/>
    </xf>
    <xf numFmtId="164" fontId="7" fillId="11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 vertical="center"/>
    </xf>
    <xf numFmtId="0" fontId="5" fillId="2" borderId="0" xfId="1" applyFont="1" applyAlignment="1">
      <alignment horizontal="center" vertical="center"/>
    </xf>
    <xf numFmtId="0" fontId="0" fillId="0" borderId="0" xfId="0"/>
    <xf numFmtId="0" fontId="9" fillId="8" borderId="23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9" fillId="8" borderId="1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9" fillId="8" borderId="14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/>
    </xf>
    <xf numFmtId="0" fontId="28" fillId="1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164" fontId="15" fillId="20" borderId="10" xfId="0" applyNumberFormat="1" applyFont="1" applyFill="1" applyBorder="1" applyAlignment="1">
      <alignment horizontal="center" vertical="center"/>
    </xf>
    <xf numFmtId="164" fontId="15" fillId="6" borderId="11" xfId="0" applyNumberFormat="1" applyFont="1" applyFill="1" applyBorder="1" applyAlignment="1">
      <alignment horizontal="center" vertical="center"/>
    </xf>
    <xf numFmtId="164" fontId="15" fillId="6" borderId="12" xfId="0" applyNumberFormat="1" applyFont="1" applyFill="1" applyBorder="1" applyAlignment="1">
      <alignment horizontal="center" vertical="center"/>
    </xf>
    <xf numFmtId="164" fontId="15" fillId="6" borderId="13" xfId="0" applyNumberFormat="1" applyFont="1" applyFill="1" applyBorder="1" applyAlignment="1">
      <alignment horizontal="center" vertical="center"/>
    </xf>
    <xf numFmtId="164" fontId="15" fillId="14" borderId="10" xfId="0" applyNumberFormat="1" applyFont="1" applyFill="1" applyBorder="1" applyAlignment="1">
      <alignment horizontal="center" vertical="center"/>
    </xf>
    <xf numFmtId="44" fontId="27" fillId="0" borderId="11" xfId="7" applyFont="1" applyBorder="1" applyAlignment="1">
      <alignment horizontal="center"/>
    </xf>
    <xf numFmtId="44" fontId="27" fillId="0" borderId="12" xfId="7" applyFont="1" applyBorder="1" applyAlignment="1">
      <alignment horizontal="center"/>
    </xf>
    <xf numFmtId="44" fontId="27" fillId="0" borderId="13" xfId="7" applyFont="1" applyBorder="1" applyAlignment="1">
      <alignment horizontal="center"/>
    </xf>
    <xf numFmtId="164" fontId="20" fillId="2" borderId="11" xfId="1" applyNumberFormat="1" applyFont="1" applyBorder="1" applyAlignment="1">
      <alignment horizontal="center" vertical="center"/>
    </xf>
    <xf numFmtId="164" fontId="20" fillId="2" borderId="12" xfId="1" applyNumberFormat="1" applyFont="1" applyBorder="1" applyAlignment="1">
      <alignment horizontal="center" vertical="center"/>
    </xf>
    <xf numFmtId="164" fontId="20" fillId="2" borderId="13" xfId="1" applyNumberFormat="1" applyFont="1" applyBorder="1" applyAlignment="1">
      <alignment horizontal="center" vertical="center"/>
    </xf>
    <xf numFmtId="0" fontId="8" fillId="2" borderId="11" xfId="1" applyFont="1" applyBorder="1" applyAlignment="1">
      <alignment horizontal="center"/>
    </xf>
    <xf numFmtId="0" fontId="8" fillId="2" borderId="12" xfId="1" applyFont="1" applyBorder="1" applyAlignment="1">
      <alignment horizontal="center"/>
    </xf>
    <xf numFmtId="0" fontId="8" fillId="2" borderId="13" xfId="1" applyFont="1" applyBorder="1" applyAlignment="1">
      <alignment horizontal="center"/>
    </xf>
    <xf numFmtId="0" fontId="8" fillId="2" borderId="10" xfId="1" applyFont="1" applyBorder="1" applyAlignment="1">
      <alignment horizontal="center"/>
    </xf>
    <xf numFmtId="0" fontId="1" fillId="2" borderId="10" xfId="1" applyBorder="1" applyAlignment="1">
      <alignment horizontal="center"/>
    </xf>
    <xf numFmtId="0" fontId="2" fillId="3" borderId="11" xfId="2" applyBorder="1" applyAlignment="1">
      <alignment horizontal="center"/>
    </xf>
    <xf numFmtId="0" fontId="0" fillId="19" borderId="10" xfId="6" applyFont="1" applyBorder="1" applyAlignment="1">
      <alignment horizontal="center" vertical="center"/>
    </xf>
    <xf numFmtId="0" fontId="0" fillId="19" borderId="11" xfId="6" applyFont="1" applyBorder="1" applyAlignment="1">
      <alignment horizontal="center" vertical="center"/>
    </xf>
    <xf numFmtId="0" fontId="24" fillId="16" borderId="1" xfId="4" applyFont="1" applyBorder="1" applyAlignment="1">
      <alignment horizontal="center" vertical="center"/>
    </xf>
    <xf numFmtId="0" fontId="24" fillId="16" borderId="3" xfId="4" applyFont="1" applyBorder="1" applyAlignment="1">
      <alignment horizontal="center" vertical="center"/>
    </xf>
    <xf numFmtId="0" fontId="24" fillId="16" borderId="4" xfId="4" applyFont="1" applyBorder="1" applyAlignment="1">
      <alignment horizontal="center" vertical="center"/>
    </xf>
    <xf numFmtId="0" fontId="24" fillId="16" borderId="6" xfId="4" applyFont="1" applyBorder="1" applyAlignment="1">
      <alignment horizontal="center" vertical="center"/>
    </xf>
    <xf numFmtId="0" fontId="0" fillId="19" borderId="10" xfId="6" applyFont="1" applyBorder="1" applyAlignment="1">
      <alignment horizontal="center"/>
    </xf>
    <xf numFmtId="0" fontId="1" fillId="2" borderId="11" xfId="1" applyBorder="1" applyAlignment="1">
      <alignment horizontal="center"/>
    </xf>
    <xf numFmtId="0" fontId="16" fillId="15" borderId="24" xfId="3" applyFont="1" applyBorder="1" applyAlignment="1">
      <alignment horizontal="center" vertical="center"/>
    </xf>
    <xf numFmtId="0" fontId="16" fillId="15" borderId="25" xfId="3" applyFont="1" applyBorder="1" applyAlignment="1">
      <alignment horizontal="center" vertical="center"/>
    </xf>
    <xf numFmtId="0" fontId="16" fillId="15" borderId="26" xfId="3" applyFont="1" applyBorder="1" applyAlignment="1">
      <alignment horizontal="center" vertical="center"/>
    </xf>
    <xf numFmtId="0" fontId="16" fillId="15" borderId="27" xfId="3" applyFont="1" applyBorder="1" applyAlignment="1">
      <alignment horizontal="center" vertical="center"/>
    </xf>
    <xf numFmtId="0" fontId="16" fillId="15" borderId="28" xfId="3" applyFont="1" applyBorder="1" applyAlignment="1">
      <alignment horizontal="center" vertical="center"/>
    </xf>
    <xf numFmtId="0" fontId="16" fillId="15" borderId="29" xfId="3" applyFont="1" applyBorder="1" applyAlignment="1">
      <alignment horizontal="center" vertical="center"/>
    </xf>
    <xf numFmtId="49" fontId="11" fillId="10" borderId="12" xfId="0" applyNumberFormat="1" applyFont="1" applyFill="1" applyBorder="1" applyAlignment="1">
      <alignment horizontal="center" vertical="center"/>
    </xf>
    <xf numFmtId="49" fontId="11" fillId="10" borderId="13" xfId="0" applyNumberFormat="1" applyFont="1" applyFill="1" applyBorder="1" applyAlignment="1">
      <alignment horizontal="center" vertical="center"/>
    </xf>
  </cellXfs>
  <cellStyles count="8">
    <cellStyle name="Bé" xfId="1" builtinId="26"/>
    <cellStyle name="Cel·la de comprovació" xfId="3" builtinId="23"/>
    <cellStyle name="Enllaç" xfId="5" builtinId="8"/>
    <cellStyle name="Incorrecte" xfId="4" builtinId="27"/>
    <cellStyle name="Moneda" xfId="7" builtinId="4"/>
    <cellStyle name="Neutral" xfId="2" builtinId="28"/>
    <cellStyle name="Normal" xfId="0" builtinId="0"/>
    <cellStyle name="Nota" xfId="6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2"/>
  <c:chart>
    <c:title>
      <c:tx>
        <c:rich>
          <a:bodyPr/>
          <a:lstStyle/>
          <a:p>
            <a:pPr>
              <a:defRPr/>
            </a:pPr>
            <a:r>
              <a:rPr lang="es-ES"/>
              <a:t>Venda Bruta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Venta Bruta</c:v>
          </c:tx>
          <c:dLbls>
            <c:dLblPos val="inEnd"/>
            <c:showVal val="1"/>
          </c:dLbls>
          <c:cat>
            <c:strRef>
              <c:f>'1'!$F$13:$Q$13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DECEMBRE</c:v>
                </c:pt>
              </c:strCache>
            </c:strRef>
          </c:cat>
          <c:val>
            <c:numRef>
              <c:f>'1'!$F$15:$Q$15</c:f>
              <c:numCache>
                <c:formatCode>#,##0.00\ "€"</c:formatCode>
                <c:ptCount val="12"/>
                <c:pt idx="0">
                  <c:v>2266.5225519999999</c:v>
                </c:pt>
                <c:pt idx="1">
                  <c:v>2601.4286549999997</c:v>
                </c:pt>
                <c:pt idx="2">
                  <c:v>3817.8446475000001</c:v>
                </c:pt>
                <c:pt idx="3">
                  <c:v>4119.1647937500002</c:v>
                </c:pt>
                <c:pt idx="4">
                  <c:v>6047.634776249999</c:v>
                </c:pt>
                <c:pt idx="5">
                  <c:v>7793.6998637500001</c:v>
                </c:pt>
                <c:pt idx="6">
                  <c:v>10045.911728749999</c:v>
                </c:pt>
                <c:pt idx="7">
                  <c:v>10495.852721250001</c:v>
                </c:pt>
                <c:pt idx="8">
                  <c:v>7478.2267524999988</c:v>
                </c:pt>
                <c:pt idx="9">
                  <c:v>4478.8086737499998</c:v>
                </c:pt>
                <c:pt idx="10">
                  <c:v>2884.7818924999997</c:v>
                </c:pt>
                <c:pt idx="11">
                  <c:v>8271.9161349999995</c:v>
                </c:pt>
              </c:numCache>
            </c:numRef>
          </c:val>
        </c:ser>
        <c:gapWidth val="75"/>
        <c:overlap val="40"/>
        <c:axId val="116510080"/>
        <c:axId val="116540544"/>
      </c:barChart>
      <c:catAx>
        <c:axId val="116510080"/>
        <c:scaling>
          <c:orientation val="minMax"/>
        </c:scaling>
        <c:axPos val="b"/>
        <c:majorTickMark val="none"/>
        <c:tickLblPos val="nextTo"/>
        <c:crossAx val="116540544"/>
        <c:crosses val="autoZero"/>
        <c:auto val="1"/>
        <c:lblAlgn val="ctr"/>
        <c:lblOffset val="100"/>
      </c:catAx>
      <c:valAx>
        <c:axId val="116540544"/>
        <c:scaling>
          <c:orientation val="minMax"/>
        </c:scaling>
        <c:axPos val="l"/>
        <c:majorGridlines/>
        <c:numFmt formatCode="#,##0.00\ &quot;€&quot;" sourceLinked="1"/>
        <c:majorTickMark val="none"/>
        <c:tickLblPos val="nextTo"/>
        <c:crossAx val="116510080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/>
      <c:barChart>
        <c:barDir val="col"/>
        <c:grouping val="clustered"/>
        <c:ser>
          <c:idx val="0"/>
          <c:order val="0"/>
          <c:tx>
            <c:strRef>
              <c:f>'4'!$G$31:$H$31</c:f>
              <c:strCache>
                <c:ptCount val="1"/>
                <c:pt idx="0">
                  <c:v>Actiu No Corrent</c:v>
                </c:pt>
              </c:strCache>
            </c:strRef>
          </c:tx>
          <c:dLbls>
            <c:showVal val="1"/>
          </c:dLbls>
          <c:cat>
            <c:numRef>
              <c:f>'4'!$I$30:$N$30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'4'!$I$31:$N$31</c:f>
              <c:numCache>
                <c:formatCode>#,##0.00\ "€"</c:formatCode>
                <c:ptCount val="6"/>
                <c:pt idx="0">
                  <c:v>0</c:v>
                </c:pt>
                <c:pt idx="1">
                  <c:v>29694.661899999999</c:v>
                </c:pt>
                <c:pt idx="2">
                  <c:v>22270.995900000002</c:v>
                </c:pt>
                <c:pt idx="3">
                  <c:v>14847.329900000001</c:v>
                </c:pt>
                <c:pt idx="4">
                  <c:v>7423.6638999999996</c:v>
                </c:pt>
                <c:pt idx="5">
                  <c:v>-2.1000000015192199E-3</c:v>
                </c:pt>
              </c:numCache>
            </c:numRef>
          </c:val>
        </c:ser>
        <c:ser>
          <c:idx val="1"/>
          <c:order val="1"/>
          <c:tx>
            <c:strRef>
              <c:f>'4'!$G$32:$H$32</c:f>
              <c:strCache>
                <c:ptCount val="1"/>
                <c:pt idx="0">
                  <c:v>Actiu Corrent</c:v>
                </c:pt>
              </c:strCache>
            </c:strRef>
          </c:tx>
          <c:dLbls>
            <c:showVal val="1"/>
          </c:dLbls>
          <c:cat>
            <c:numRef>
              <c:f>'4'!$I$30:$N$30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'4'!$I$32:$N$32</c:f>
              <c:numCache>
                <c:formatCode>#,##0.00\ "€"</c:formatCode>
                <c:ptCount val="6"/>
                <c:pt idx="0">
                  <c:v>27000</c:v>
                </c:pt>
                <c:pt idx="1">
                  <c:v>7591.5219999999999</c:v>
                </c:pt>
                <c:pt idx="2">
                  <c:v>34972.001000000004</c:v>
                </c:pt>
                <c:pt idx="3">
                  <c:v>36734.53</c:v>
                </c:pt>
                <c:pt idx="4">
                  <c:v>24386.249999999993</c:v>
                </c:pt>
                <c:pt idx="5">
                  <c:v>29526.01</c:v>
                </c:pt>
              </c:numCache>
            </c:numRef>
          </c:val>
        </c:ser>
        <c:axId val="117725440"/>
        <c:axId val="117739520"/>
      </c:barChart>
      <c:catAx>
        <c:axId val="117725440"/>
        <c:scaling>
          <c:orientation val="minMax"/>
        </c:scaling>
        <c:axPos val="b"/>
        <c:numFmt formatCode="General" sourceLinked="1"/>
        <c:tickLblPos val="nextTo"/>
        <c:crossAx val="117739520"/>
        <c:crosses val="autoZero"/>
        <c:auto val="1"/>
        <c:lblAlgn val="ctr"/>
        <c:lblOffset val="100"/>
      </c:catAx>
      <c:valAx>
        <c:axId val="117739520"/>
        <c:scaling>
          <c:orientation val="minMax"/>
        </c:scaling>
        <c:axPos val="l"/>
        <c:majorGridlines/>
        <c:numFmt formatCode="#,##0.00\ &quot;€&quot;" sourceLinked="1"/>
        <c:tickLblPos val="nextTo"/>
        <c:crossAx val="117725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/>
      <c:barChart>
        <c:barDir val="col"/>
        <c:grouping val="clustered"/>
        <c:ser>
          <c:idx val="0"/>
          <c:order val="0"/>
          <c:tx>
            <c:strRef>
              <c:f>'4'!$G$35:$H$35</c:f>
              <c:strCache>
                <c:ptCount val="1"/>
                <c:pt idx="0">
                  <c:v>Patrimoni Net</c:v>
                </c:pt>
              </c:strCache>
            </c:strRef>
          </c:tx>
          <c:dLbls>
            <c:dLbl>
              <c:idx val="1"/>
              <c:layout>
                <c:manualLayout>
                  <c:x val="-2.005012531328321E-2"/>
                  <c:y val="1.2789768185451638E-2"/>
                </c:manualLayout>
              </c:layout>
              <c:showVal val="1"/>
            </c:dLbl>
            <c:showVal val="1"/>
          </c:dLbls>
          <c:cat>
            <c:numRef>
              <c:f>'4'!$I$34:$N$34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'4'!$I$35:$N$35</c:f>
              <c:numCache>
                <c:formatCode>#,##0.00\ "€"</c:formatCode>
                <c:ptCount val="6"/>
                <c:pt idx="0">
                  <c:v>7000</c:v>
                </c:pt>
                <c:pt idx="1">
                  <c:v>16562.02</c:v>
                </c:pt>
                <c:pt idx="2">
                  <c:v>38947.616900000008</c:v>
                </c:pt>
                <c:pt idx="3">
                  <c:v>34429.529899999994</c:v>
                </c:pt>
                <c:pt idx="4">
                  <c:v>19210.74389999999</c:v>
                </c:pt>
                <c:pt idx="5">
                  <c:v>18784.337899999999</c:v>
                </c:pt>
              </c:numCache>
            </c:numRef>
          </c:val>
        </c:ser>
        <c:ser>
          <c:idx val="1"/>
          <c:order val="1"/>
          <c:tx>
            <c:strRef>
              <c:f>'4'!$G$36:$H$36</c:f>
              <c:strCache>
                <c:ptCount val="1"/>
                <c:pt idx="0">
                  <c:v>Passiu No Corrent</c:v>
                </c:pt>
              </c:strCache>
            </c:strRef>
          </c:tx>
          <c:dLbls>
            <c:dLbl>
              <c:idx val="1"/>
              <c:layout>
                <c:manualLayout>
                  <c:x val="2.5062656641603981E-2"/>
                  <c:y val="1.9184652278177495E-2"/>
                </c:manualLayout>
              </c:layout>
              <c:showVal val="1"/>
            </c:dLbl>
            <c:showVal val="1"/>
          </c:dLbls>
          <c:cat>
            <c:numRef>
              <c:f>'4'!$I$34:$N$34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'4'!$I$36:$N$36</c:f>
              <c:numCache>
                <c:formatCode>#,##0.00\ "€"</c:formatCode>
                <c:ptCount val="6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4000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'4'!$G$37:$H$37</c:f>
              <c:strCache>
                <c:ptCount val="1"/>
                <c:pt idx="0">
                  <c:v>Passiu Corrent</c:v>
                </c:pt>
              </c:strCache>
            </c:strRef>
          </c:tx>
          <c:dLbls>
            <c:dLbl>
              <c:idx val="3"/>
              <c:layout>
                <c:manualLayout>
                  <c:x val="1.8379281537176273E-2"/>
                  <c:y val="-1.5987210231814548E-2"/>
                </c:manualLayout>
              </c:layout>
              <c:showVal val="1"/>
            </c:dLbl>
            <c:showVal val="1"/>
          </c:dLbls>
          <c:cat>
            <c:numRef>
              <c:f>'4'!$I$34:$N$34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'4'!$I$37:$N$37</c:f>
              <c:numCache>
                <c:formatCode>#,##0.00\ "€"</c:formatCode>
                <c:ptCount val="6"/>
                <c:pt idx="0">
                  <c:v>4000</c:v>
                </c:pt>
                <c:pt idx="1">
                  <c:v>8724.16</c:v>
                </c:pt>
                <c:pt idx="2">
                  <c:v>10295.380000000001</c:v>
                </c:pt>
                <c:pt idx="3">
                  <c:v>13152.33</c:v>
                </c:pt>
                <c:pt idx="4">
                  <c:v>12599.17</c:v>
                </c:pt>
                <c:pt idx="5">
                  <c:v>10741.67</c:v>
                </c:pt>
              </c:numCache>
            </c:numRef>
          </c:val>
        </c:ser>
        <c:axId val="117909376"/>
        <c:axId val="117910912"/>
      </c:barChart>
      <c:catAx>
        <c:axId val="117909376"/>
        <c:scaling>
          <c:orientation val="minMax"/>
        </c:scaling>
        <c:axPos val="b"/>
        <c:numFmt formatCode="General" sourceLinked="1"/>
        <c:tickLblPos val="nextTo"/>
        <c:crossAx val="117910912"/>
        <c:crosses val="autoZero"/>
        <c:auto val="1"/>
        <c:lblAlgn val="ctr"/>
        <c:lblOffset val="100"/>
      </c:catAx>
      <c:valAx>
        <c:axId val="117910912"/>
        <c:scaling>
          <c:orientation val="minMax"/>
        </c:scaling>
        <c:axPos val="l"/>
        <c:majorGridlines/>
        <c:numFmt formatCode="#,##0.00\ &quot;€&quot;" sourceLinked="1"/>
        <c:tickLblPos val="nextTo"/>
        <c:crossAx val="117909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/>
      <c:barChart>
        <c:barDir val="col"/>
        <c:grouping val="clustered"/>
        <c:ser>
          <c:idx val="0"/>
          <c:order val="0"/>
          <c:tx>
            <c:strRef>
              <c:f>'4'!$A$17:$C$17</c:f>
              <c:strCache>
                <c:ptCount val="1"/>
                <c:pt idx="0">
                  <c:v>TOTAL ACTIU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3.8596491228070177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4.2105263157894736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4.2105263157894764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3.1578947368421137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4.5614035087719301E-2"/>
                </c:manualLayout>
              </c:layout>
              <c:showVal val="1"/>
            </c:dLbl>
            <c:dLbl>
              <c:idx val="5"/>
              <c:layout>
                <c:manualLayout>
                  <c:x val="-1.6708437761069385E-3"/>
                  <c:y val="-4.2105263157894736E-2"/>
                </c:manualLayout>
              </c:layout>
              <c:showVal val="1"/>
            </c:dLbl>
            <c:showVal val="1"/>
          </c:dLbls>
          <c:cat>
            <c:numRef>
              <c:f>'4'!$I$30:$N$30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'4'!$D$17:$I$17</c:f>
              <c:numCache>
                <c:formatCode>#,##0.00\ "€"</c:formatCode>
                <c:ptCount val="6"/>
                <c:pt idx="0">
                  <c:v>27000</c:v>
                </c:pt>
                <c:pt idx="1">
                  <c:v>37286.183899999996</c:v>
                </c:pt>
                <c:pt idx="2">
                  <c:v>57242.996900000006</c:v>
                </c:pt>
                <c:pt idx="3">
                  <c:v>51581.859899999996</c:v>
                </c:pt>
                <c:pt idx="4">
                  <c:v>31809.913899999992</c:v>
                </c:pt>
                <c:pt idx="5">
                  <c:v>29526.007899999997</c:v>
                </c:pt>
              </c:numCache>
            </c:numRef>
          </c:val>
        </c:ser>
        <c:ser>
          <c:idx val="1"/>
          <c:order val="1"/>
          <c:tx>
            <c:strRef>
              <c:f>'4'!$A$27:$C$27</c:f>
              <c:strCache>
                <c:ptCount val="1"/>
                <c:pt idx="0">
                  <c:v>TOTAL NET I PASSIU</c:v>
                </c:pt>
              </c:strCache>
            </c:strRef>
          </c:tx>
          <c:dLbls>
            <c:showVal val="1"/>
          </c:dLbls>
          <c:cat>
            <c:numRef>
              <c:f>'4'!$I$30:$N$30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'4'!$D$27:$I$27</c:f>
              <c:numCache>
                <c:formatCode>#,##0.00\ "€"</c:formatCode>
                <c:ptCount val="6"/>
                <c:pt idx="0">
                  <c:v>27000</c:v>
                </c:pt>
                <c:pt idx="1">
                  <c:v>37286.18</c:v>
                </c:pt>
                <c:pt idx="2">
                  <c:v>57242.996900000013</c:v>
                </c:pt>
                <c:pt idx="3">
                  <c:v>51581.859899999996</c:v>
                </c:pt>
                <c:pt idx="4">
                  <c:v>31809.913899999992</c:v>
                </c:pt>
                <c:pt idx="5">
                  <c:v>29526.007899999997</c:v>
                </c:pt>
              </c:numCache>
            </c:numRef>
          </c:val>
        </c:ser>
        <c:axId val="117952896"/>
        <c:axId val="117954432"/>
      </c:barChart>
      <c:catAx>
        <c:axId val="117952896"/>
        <c:scaling>
          <c:orientation val="minMax"/>
        </c:scaling>
        <c:axPos val="b"/>
        <c:numFmt formatCode="General" sourceLinked="1"/>
        <c:tickLblPos val="nextTo"/>
        <c:crossAx val="117954432"/>
        <c:crosses val="autoZero"/>
        <c:auto val="1"/>
        <c:lblAlgn val="ctr"/>
        <c:lblOffset val="100"/>
      </c:catAx>
      <c:valAx>
        <c:axId val="117954432"/>
        <c:scaling>
          <c:orientation val="minMax"/>
        </c:scaling>
        <c:axPos val="l"/>
        <c:majorGridlines/>
        <c:numFmt formatCode="#,##0.00\ &quot;€&quot;" sourceLinked="1"/>
        <c:tickLblPos val="nextTo"/>
        <c:crossAx val="1179528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'5'!$A$15:$C$15</c:f>
              <c:strCache>
                <c:ptCount val="1"/>
                <c:pt idx="0">
                  <c:v>INGRESSOS ORDINARIS</c:v>
                </c:pt>
              </c:strCache>
            </c:strRef>
          </c:tx>
          <c:cat>
            <c:strRef>
              <c:f>'5'!$D$11:$H$11</c:f>
              <c:strCache>
                <c:ptCount val="5"/>
                <c:pt idx="0">
                  <c:v>2014</c:v>
                </c:pt>
                <c:pt idx="1">
                  <c:v>-20%</c:v>
                </c:pt>
                <c:pt idx="2">
                  <c:v>-30%</c:v>
                </c:pt>
                <c:pt idx="3">
                  <c:v>10%</c:v>
                </c:pt>
                <c:pt idx="4">
                  <c:v>15%</c:v>
                </c:pt>
              </c:strCache>
            </c:strRef>
          </c:cat>
          <c:val>
            <c:numRef>
              <c:f>'5'!$D$15:$H$15</c:f>
              <c:numCache>
                <c:formatCode>#,##0.00\ "€"</c:formatCode>
                <c:ptCount val="5"/>
                <c:pt idx="0">
                  <c:v>111724.13319200001</c:v>
                </c:pt>
                <c:pt idx="1">
                  <c:v>89379.306553600007</c:v>
                </c:pt>
                <c:pt idx="2">
                  <c:v>78206.893234400006</c:v>
                </c:pt>
                <c:pt idx="3">
                  <c:v>122896.54651120002</c:v>
                </c:pt>
                <c:pt idx="4">
                  <c:v>128482.7531708</c:v>
                </c:pt>
              </c:numCache>
            </c:numRef>
          </c:val>
        </c:ser>
        <c:ser>
          <c:idx val="1"/>
          <c:order val="1"/>
          <c:tx>
            <c:strRef>
              <c:f>'5'!$A$16:$C$16</c:f>
              <c:strCache>
                <c:ptCount val="1"/>
                <c:pt idx="0">
                  <c:v>COST DE VENDES</c:v>
                </c:pt>
              </c:strCache>
            </c:strRef>
          </c:tx>
          <c:cat>
            <c:strRef>
              <c:f>'5'!$D$11:$H$11</c:f>
              <c:strCache>
                <c:ptCount val="5"/>
                <c:pt idx="0">
                  <c:v>2014</c:v>
                </c:pt>
                <c:pt idx="1">
                  <c:v>-20%</c:v>
                </c:pt>
                <c:pt idx="2">
                  <c:v>-30%</c:v>
                </c:pt>
                <c:pt idx="3">
                  <c:v>10%</c:v>
                </c:pt>
                <c:pt idx="4">
                  <c:v>15%</c:v>
                </c:pt>
              </c:strCache>
            </c:strRef>
          </c:cat>
          <c:val>
            <c:numRef>
              <c:f>'5'!$D$16:$H$16</c:f>
              <c:numCache>
                <c:formatCode>#,##0.00\ "€"</c:formatCode>
                <c:ptCount val="5"/>
                <c:pt idx="0">
                  <c:v>67824.715484245491</c:v>
                </c:pt>
                <c:pt idx="1">
                  <c:v>54259.772387396399</c:v>
                </c:pt>
                <c:pt idx="2">
                  <c:v>47477.300838971838</c:v>
                </c:pt>
                <c:pt idx="3">
                  <c:v>74607.187032670045</c:v>
                </c:pt>
                <c:pt idx="4">
                  <c:v>77998.422806882314</c:v>
                </c:pt>
              </c:numCache>
            </c:numRef>
          </c:val>
        </c:ser>
        <c:ser>
          <c:idx val="2"/>
          <c:order val="2"/>
          <c:tx>
            <c:strRef>
              <c:f>'5'!$A$19:$C$19</c:f>
              <c:strCache>
                <c:ptCount val="1"/>
                <c:pt idx="0">
                  <c:v>BENEFICI NET</c:v>
                </c:pt>
              </c:strCache>
            </c:strRef>
          </c:tx>
          <c:cat>
            <c:strRef>
              <c:f>'5'!$D$11:$H$11</c:f>
              <c:strCache>
                <c:ptCount val="5"/>
                <c:pt idx="0">
                  <c:v>2014</c:v>
                </c:pt>
                <c:pt idx="1">
                  <c:v>-20%</c:v>
                </c:pt>
                <c:pt idx="2">
                  <c:v>-30%</c:v>
                </c:pt>
                <c:pt idx="3">
                  <c:v>10%</c:v>
                </c:pt>
                <c:pt idx="4">
                  <c:v>15%</c:v>
                </c:pt>
              </c:strCache>
            </c:strRef>
          </c:cat>
          <c:val>
            <c:numRef>
              <c:f>'5'!$D$19:$H$19</c:f>
              <c:numCache>
                <c:formatCode>#,##0.00\ "€"</c:formatCode>
                <c:ptCount val="5"/>
                <c:pt idx="0">
                  <c:v>19907.539989126068</c:v>
                </c:pt>
                <c:pt idx="1">
                  <c:v>15926.031991300855</c:v>
                </c:pt>
                <c:pt idx="2">
                  <c:v>13935.277992388246</c:v>
                </c:pt>
                <c:pt idx="3">
                  <c:v>21898.293988038677</c:v>
                </c:pt>
                <c:pt idx="4">
                  <c:v>22893.670987494977</c:v>
                </c:pt>
              </c:numCache>
            </c:numRef>
          </c:val>
        </c:ser>
        <c:ser>
          <c:idx val="3"/>
          <c:order val="3"/>
          <c:tx>
            <c:strRef>
              <c:f>'5'!$A$25:$C$25</c:f>
              <c:strCache>
                <c:ptCount val="1"/>
                <c:pt idx="0">
                  <c:v>RESULTAT FINANCER</c:v>
                </c:pt>
              </c:strCache>
            </c:strRef>
          </c:tx>
          <c:cat>
            <c:strRef>
              <c:f>'5'!$D$11:$H$11</c:f>
              <c:strCache>
                <c:ptCount val="5"/>
                <c:pt idx="0">
                  <c:v>2014</c:v>
                </c:pt>
                <c:pt idx="1">
                  <c:v>-20%</c:v>
                </c:pt>
                <c:pt idx="2">
                  <c:v>-30%</c:v>
                </c:pt>
                <c:pt idx="3">
                  <c:v>10%</c:v>
                </c:pt>
                <c:pt idx="4">
                  <c:v>15%</c:v>
                </c:pt>
              </c:strCache>
            </c:strRef>
          </c:cat>
          <c:val>
            <c:numRef>
              <c:f>'5'!$D$25:$H$25</c:f>
              <c:numCache>
                <c:formatCode>#,##0.00\ "€"</c:formatCode>
                <c:ptCount val="5"/>
                <c:pt idx="0">
                  <c:v>25199.417707754517</c:v>
                </c:pt>
                <c:pt idx="1">
                  <c:v>20159.534166203615</c:v>
                </c:pt>
                <c:pt idx="2">
                  <c:v>17639.592395428161</c:v>
                </c:pt>
                <c:pt idx="3">
                  <c:v>27719.359478529972</c:v>
                </c:pt>
                <c:pt idx="4">
                  <c:v>28979.330363917692</c:v>
                </c:pt>
              </c:numCache>
            </c:numRef>
          </c:val>
        </c:ser>
        <c:marker val="1"/>
        <c:axId val="118013952"/>
        <c:axId val="118015488"/>
      </c:lineChart>
      <c:catAx>
        <c:axId val="118013952"/>
        <c:scaling>
          <c:orientation val="minMax"/>
        </c:scaling>
        <c:axPos val="b"/>
        <c:tickLblPos val="nextTo"/>
        <c:crossAx val="118015488"/>
        <c:crosses val="autoZero"/>
        <c:auto val="1"/>
        <c:lblAlgn val="ctr"/>
        <c:lblOffset val="100"/>
      </c:catAx>
      <c:valAx>
        <c:axId val="118015488"/>
        <c:scaling>
          <c:orientation val="minMax"/>
        </c:scaling>
        <c:axPos val="l"/>
        <c:majorGridlines/>
        <c:numFmt formatCode="#,##0.00\ &quot;€&quot;" sourceLinked="1"/>
        <c:tickLblPos val="nextTo"/>
        <c:crossAx val="1180139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64</xdr:row>
      <xdr:rowOff>28576</xdr:rowOff>
    </xdr:from>
    <xdr:to>
      <xdr:col>10</xdr:col>
      <xdr:colOff>47625</xdr:colOff>
      <xdr:row>88</xdr:row>
      <xdr:rowOff>123825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40</xdr:row>
      <xdr:rowOff>190499</xdr:rowOff>
    </xdr:from>
    <xdr:to>
      <xdr:col>8</xdr:col>
      <xdr:colOff>114299</xdr:colOff>
      <xdr:row>62</xdr:row>
      <xdr:rowOff>47624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733425</xdr:colOff>
      <xdr:row>40</xdr:row>
      <xdr:rowOff>190499</xdr:rowOff>
    </xdr:from>
    <xdr:to>
      <xdr:col>18</xdr:col>
      <xdr:colOff>742950</xdr:colOff>
      <xdr:row>62</xdr:row>
      <xdr:rowOff>66675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69</xdr:row>
      <xdr:rowOff>9525</xdr:rowOff>
    </xdr:from>
    <xdr:to>
      <xdr:col>10</xdr:col>
      <xdr:colOff>752475</xdr:colOff>
      <xdr:row>88</xdr:row>
      <xdr:rowOff>9525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29</xdr:row>
      <xdr:rowOff>9525</xdr:rowOff>
    </xdr:from>
    <xdr:to>
      <xdr:col>15</xdr:col>
      <xdr:colOff>428625</xdr:colOff>
      <xdr:row>49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504825</xdr:colOff>
      <xdr:row>52</xdr:row>
      <xdr:rowOff>95250</xdr:rowOff>
    </xdr:from>
    <xdr:ext cx="5715000" cy="1276350"/>
    <xdr:sp macro="" textlink="">
      <xdr:nvSpPr>
        <xdr:cNvPr id="4" name="3 CuadroTexto"/>
        <xdr:cNvSpPr txBox="1"/>
      </xdr:nvSpPr>
      <xdr:spPr>
        <a:xfrm>
          <a:off x="2028825" y="10248900"/>
          <a:ext cx="5715000" cy="12763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s-ES" sz="1400"/>
            <a:t>Amb aquesta gràfica ens adonem que fins i tot tenit un 30% menys de guanys a partir del segon any no tindriem perquè tancar el negoci. Per altra banda suposaria un punt d'inflexió de cara a un futur en quant al plantejament del pla de marketing.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L15"/>
  <sheetViews>
    <sheetView workbookViewId="0">
      <selection activeCell="S24" sqref="S24"/>
    </sheetView>
  </sheetViews>
  <sheetFormatPr defaultColWidth="11.42578125" defaultRowHeight="15"/>
  <sheetData>
    <row r="2" spans="1:12" s="2" customFormat="1" ht="31.5">
      <c r="C2" s="4" t="s">
        <v>0</v>
      </c>
    </row>
    <row r="3" spans="1:12" s="2" customFormat="1"/>
    <row r="4" spans="1:12" ht="15" customHeight="1">
      <c r="D4" s="1"/>
      <c r="E4" s="3"/>
      <c r="F4" s="1"/>
      <c r="G4" s="1"/>
      <c r="H4" s="1"/>
      <c r="I4" s="1"/>
    </row>
    <row r="5" spans="1:12" ht="15" customHeight="1">
      <c r="D5" s="1"/>
      <c r="E5" s="1"/>
      <c r="F5" s="1"/>
      <c r="G5" s="1"/>
      <c r="H5" s="1"/>
      <c r="I5" s="1"/>
    </row>
    <row r="6" spans="1:12" ht="15.75" customHeight="1" thickBot="1">
      <c r="A6" s="11"/>
      <c r="B6" s="11"/>
      <c r="C6" s="11"/>
      <c r="D6" s="11"/>
      <c r="E6" s="12"/>
      <c r="F6" s="12"/>
      <c r="G6" s="12"/>
      <c r="H6" s="12"/>
      <c r="I6" s="1"/>
    </row>
    <row r="7" spans="1:12">
      <c r="A7" s="11"/>
      <c r="B7" s="75" t="s">
        <v>104</v>
      </c>
      <c r="C7" s="76"/>
      <c r="D7" s="77"/>
      <c r="E7" s="11"/>
      <c r="F7" s="81" t="s">
        <v>105</v>
      </c>
      <c r="G7" s="82"/>
      <c r="H7" s="83"/>
      <c r="J7" s="69" t="s">
        <v>106</v>
      </c>
      <c r="K7" s="70"/>
      <c r="L7" s="71"/>
    </row>
    <row r="8" spans="1:12" ht="15.75" thickBot="1">
      <c r="A8" s="11"/>
      <c r="B8" s="78"/>
      <c r="C8" s="79"/>
      <c r="D8" s="80"/>
      <c r="E8" s="11"/>
      <c r="F8" s="84"/>
      <c r="G8" s="85"/>
      <c r="H8" s="86"/>
      <c r="J8" s="72"/>
      <c r="K8" s="73"/>
      <c r="L8" s="74"/>
    </row>
    <row r="9" spans="1:12" ht="15" customHeight="1" thickBot="1">
      <c r="A9" s="11"/>
      <c r="B9" s="11"/>
      <c r="C9" s="11"/>
      <c r="D9" s="11"/>
      <c r="E9" s="11"/>
      <c r="F9" s="11"/>
      <c r="G9" s="11"/>
      <c r="H9" s="11"/>
    </row>
    <row r="10" spans="1:12" ht="18" thickBot="1">
      <c r="A10" s="11">
        <v>1</v>
      </c>
      <c r="B10" s="66" t="s">
        <v>150</v>
      </c>
      <c r="C10" s="67"/>
      <c r="D10" s="68"/>
      <c r="E10" s="11">
        <v>3</v>
      </c>
      <c r="F10" s="66" t="s">
        <v>149</v>
      </c>
      <c r="G10" s="67"/>
      <c r="H10" s="68"/>
      <c r="I10">
        <v>5</v>
      </c>
      <c r="J10" s="66" t="s">
        <v>107</v>
      </c>
      <c r="K10" s="67"/>
      <c r="L10" s="68"/>
    </row>
    <row r="11" spans="1:12" ht="15.75" thickBot="1">
      <c r="A11" s="11"/>
      <c r="B11" s="11"/>
      <c r="C11" s="11"/>
      <c r="D11" s="11"/>
      <c r="E11" s="11"/>
      <c r="F11" s="11"/>
      <c r="G11" s="11"/>
      <c r="H11" s="11"/>
    </row>
    <row r="12" spans="1:12" ht="15.75" thickBot="1">
      <c r="A12" s="11">
        <v>2</v>
      </c>
      <c r="B12" s="66" t="s">
        <v>108</v>
      </c>
      <c r="C12" s="67"/>
      <c r="D12" s="68"/>
      <c r="E12" s="11">
        <v>4</v>
      </c>
      <c r="F12" s="66" t="s">
        <v>90</v>
      </c>
      <c r="G12" s="67"/>
      <c r="H12" s="68"/>
      <c r="J12" s="19"/>
      <c r="K12" s="19"/>
      <c r="L12" s="19"/>
    </row>
    <row r="13" spans="1:12">
      <c r="A13" s="11"/>
      <c r="B13" s="11"/>
      <c r="C13" s="11"/>
      <c r="D13" s="11"/>
      <c r="E13" s="11"/>
      <c r="F13" s="11"/>
      <c r="G13" s="11"/>
      <c r="H13" s="11"/>
    </row>
    <row r="14" spans="1:12">
      <c r="A14" s="11"/>
      <c r="B14" s="11"/>
      <c r="C14" s="11"/>
      <c r="D14" s="11"/>
      <c r="F14" s="37"/>
      <c r="G14" s="37"/>
      <c r="H14" s="37"/>
    </row>
    <row r="15" spans="1:12">
      <c r="A15" s="11"/>
      <c r="B15" s="11"/>
      <c r="C15" s="11"/>
      <c r="D15" s="11"/>
      <c r="E15" s="11"/>
      <c r="F15" s="11"/>
      <c r="G15" s="11"/>
      <c r="H15" s="11"/>
    </row>
  </sheetData>
  <mergeCells count="8">
    <mergeCell ref="B12:D12"/>
    <mergeCell ref="F12:H12"/>
    <mergeCell ref="B10:D10"/>
    <mergeCell ref="F10:H10"/>
    <mergeCell ref="J7:L8"/>
    <mergeCell ref="J10:L10"/>
    <mergeCell ref="B7:D8"/>
    <mergeCell ref="F7:H8"/>
  </mergeCells>
  <hyperlinks>
    <hyperlink ref="B10:D10" location="'1'!A2" display="PRESUPOST 1er ANY"/>
    <hyperlink ref="B12:D12" location="'2'!A2" display="INGRESOS I DESPESES (previsionals)"/>
    <hyperlink ref="J10:L10" location="'6'!A2" display="ANALISI DE SENSIBILITAT I RISC"/>
    <hyperlink ref="F10:H10" location="'4'!A2" display="PRESUPOST INICI 2on ANY"/>
    <hyperlink ref="F12:H12" location="'5'!A2" display="BALANSES PREVISIONALS (5 ANYS)"/>
  </hyperlink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G58"/>
  <sheetViews>
    <sheetView topLeftCell="A28" zoomScale="106" zoomScaleNormal="106" workbookViewId="0">
      <selection activeCell="S13" sqref="S13"/>
    </sheetView>
  </sheetViews>
  <sheetFormatPr defaultColWidth="11.42578125" defaultRowHeight="15"/>
  <cols>
    <col min="3" max="3" width="16" customWidth="1"/>
    <col min="5" max="5" width="11.85546875" bestFit="1" customWidth="1"/>
  </cols>
  <sheetData>
    <row r="2" spans="1:19" s="4" customFormat="1" ht="31.5">
      <c r="A2" s="98" t="s">
        <v>147</v>
      </c>
      <c r="B2" s="98"/>
      <c r="C2" s="98"/>
      <c r="D2" s="98"/>
      <c r="E2" s="98"/>
      <c r="F2" s="98"/>
    </row>
    <row r="3" spans="1:19" s="2" customFormat="1">
      <c r="A3" s="98"/>
      <c r="B3" s="98"/>
      <c r="C3" s="98"/>
      <c r="D3" s="98"/>
      <c r="E3" s="98"/>
      <c r="F3" s="98"/>
    </row>
    <row r="4" spans="1:19" ht="32.25" thickBot="1">
      <c r="B4" s="6"/>
    </row>
    <row r="5" spans="1:19">
      <c r="B5" s="149" t="s">
        <v>152</v>
      </c>
      <c r="C5" s="109"/>
      <c r="D5" s="110"/>
      <c r="E5" s="150">
        <v>20000</v>
      </c>
      <c r="F5" s="151"/>
      <c r="G5" s="152"/>
      <c r="J5" s="149" t="s">
        <v>151</v>
      </c>
      <c r="K5" s="109"/>
      <c r="L5" s="110"/>
      <c r="M5" s="150">
        <v>7000</v>
      </c>
      <c r="N5" s="151"/>
      <c r="O5" s="152"/>
      <c r="Q5" s="137" t="s">
        <v>59</v>
      </c>
      <c r="R5" s="138"/>
      <c r="S5" s="139"/>
    </row>
    <row r="6" spans="1:19" ht="15.75" thickBot="1">
      <c r="B6" s="111"/>
      <c r="C6" s="112"/>
      <c r="D6" s="113"/>
      <c r="E6" s="153"/>
      <c r="F6" s="154"/>
      <c r="G6" s="155"/>
      <c r="J6" s="111"/>
      <c r="K6" s="112"/>
      <c r="L6" s="113"/>
      <c r="M6" s="153"/>
      <c r="N6" s="154"/>
      <c r="O6" s="155"/>
      <c r="Q6" s="140"/>
      <c r="R6" s="141"/>
      <c r="S6" s="142"/>
    </row>
    <row r="7" spans="1:19" ht="15.75" thickBot="1">
      <c r="B7" s="114"/>
      <c r="C7" s="115"/>
      <c r="D7" s="116"/>
      <c r="E7" s="156"/>
      <c r="F7" s="157"/>
      <c r="G7" s="158"/>
      <c r="J7" s="114"/>
      <c r="K7" s="115"/>
      <c r="L7" s="116"/>
      <c r="M7" s="156"/>
      <c r="N7" s="157"/>
      <c r="O7" s="158"/>
      <c r="Q7" s="143">
        <f>SUM(E5+M5)</f>
        <v>27000</v>
      </c>
      <c r="R7" s="144"/>
      <c r="S7" s="145"/>
    </row>
    <row r="8" spans="1:19" ht="15.75" thickBot="1">
      <c r="B8" s="26" t="s">
        <v>79</v>
      </c>
      <c r="C8" s="26"/>
      <c r="D8" s="26"/>
      <c r="E8" s="26"/>
      <c r="F8" s="26"/>
      <c r="G8" s="26"/>
      <c r="J8" s="26" t="s">
        <v>58</v>
      </c>
      <c r="K8" s="26"/>
      <c r="Q8" s="146"/>
      <c r="R8" s="147"/>
      <c r="S8" s="148"/>
    </row>
    <row r="12" spans="1:19">
      <c r="A12" s="65"/>
      <c r="B12" s="65"/>
    </row>
    <row r="13" spans="1:19" s="7" customFormat="1" ht="15" customHeight="1">
      <c r="A13" s="127" t="s">
        <v>109</v>
      </c>
      <c r="B13" s="127"/>
      <c r="C13" s="127"/>
      <c r="D13" s="14" t="s">
        <v>14</v>
      </c>
      <c r="E13" s="15" t="s">
        <v>15</v>
      </c>
      <c r="F13" s="15" t="s">
        <v>2</v>
      </c>
      <c r="G13" s="15" t="s">
        <v>3</v>
      </c>
      <c r="H13" s="15" t="s">
        <v>5</v>
      </c>
      <c r="I13" s="15" t="s">
        <v>6</v>
      </c>
      <c r="J13" s="15" t="s">
        <v>7</v>
      </c>
      <c r="K13" s="15" t="s">
        <v>8</v>
      </c>
      <c r="L13" s="15" t="s">
        <v>9</v>
      </c>
      <c r="M13" s="15" t="s">
        <v>4</v>
      </c>
      <c r="N13" s="15" t="s">
        <v>10</v>
      </c>
      <c r="O13" s="15" t="s">
        <v>11</v>
      </c>
      <c r="P13" s="15" t="s">
        <v>12</v>
      </c>
      <c r="Q13" s="15" t="s">
        <v>16</v>
      </c>
    </row>
    <row r="14" spans="1:19" s="7" customFormat="1">
      <c r="A14" s="128" t="s">
        <v>110</v>
      </c>
      <c r="B14" s="128"/>
      <c r="C14" s="128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5"/>
    </row>
    <row r="15" spans="1:19" s="7" customFormat="1">
      <c r="A15" s="136" t="s">
        <v>111</v>
      </c>
      <c r="B15" s="136"/>
      <c r="C15" s="136"/>
      <c r="D15" s="43">
        <f>SUM(F15:Q15)</f>
        <v>70301.793191999997</v>
      </c>
      <c r="E15" s="27">
        <f>(100-E16-E18)</f>
        <v>90.81441430755028</v>
      </c>
      <c r="F15" s="43">
        <f>SUM('2'!E13+'2'!E18+'2'!E23+'2'!E28)</f>
        <v>2266.5225519999999</v>
      </c>
      <c r="G15" s="43">
        <f>SUM('2'!F13+'2'!F18+'2'!F23+'2'!F28)</f>
        <v>2601.4286549999997</v>
      </c>
      <c r="H15" s="43">
        <f>SUM('2'!G13+'2'!G18+'2'!G23+'2'!G28)</f>
        <v>3817.8446475000001</v>
      </c>
      <c r="I15" s="43">
        <f>SUM('2'!H13+'2'!H18+'2'!H23+'2'!H28)</f>
        <v>4119.1647937500002</v>
      </c>
      <c r="J15" s="43">
        <f>SUM('2'!I13+'2'!I18+'2'!I23+'2'!I28)</f>
        <v>6047.634776249999</v>
      </c>
      <c r="K15" s="43">
        <f>SUM('2'!J13+'2'!J18+'2'!J23+'2'!J28)</f>
        <v>7793.6998637500001</v>
      </c>
      <c r="L15" s="43">
        <f>SUM('2'!K13+'2'!K18+'2'!K23+'2'!K28)</f>
        <v>10045.911728749999</v>
      </c>
      <c r="M15" s="43">
        <f>SUM('2'!L13+'2'!L18+'2'!L23+'2'!L28)</f>
        <v>10495.852721250001</v>
      </c>
      <c r="N15" s="43">
        <f>SUM('2'!M13+'2'!M18+'2'!M23+'2'!M28)</f>
        <v>7478.2267524999988</v>
      </c>
      <c r="O15" s="43">
        <f>SUM('2'!N13+'2'!N18+'2'!N23+'2'!N28)</f>
        <v>4478.8086737499998</v>
      </c>
      <c r="P15" s="43">
        <f>SUM('2'!O13+'2'!O18+'2'!O23+'2'!O28)</f>
        <v>2884.7818924999997</v>
      </c>
      <c r="Q15" s="43">
        <f>SUM('2'!P13+'2'!P18+'2'!P23+'2'!P28)</f>
        <v>8271.9161349999995</v>
      </c>
    </row>
    <row r="16" spans="1:19" s="7" customFormat="1">
      <c r="A16" s="136" t="s">
        <v>80</v>
      </c>
      <c r="B16" s="136"/>
      <c r="C16" s="136"/>
      <c r="D16" s="43">
        <f>SUM(F16:Q16)</f>
        <v>4625.1600000000008</v>
      </c>
      <c r="E16" s="27">
        <f>((100*D16)/D19)</f>
        <v>6.8799518589462805</v>
      </c>
      <c r="F16" s="43">
        <f>'2'!E35</f>
        <v>0</v>
      </c>
      <c r="G16" s="43">
        <f>'2'!F35</f>
        <v>92.42</v>
      </c>
      <c r="H16" s="43">
        <f>'2'!G35</f>
        <v>120.5</v>
      </c>
      <c r="I16" s="43">
        <f>'2'!H35</f>
        <v>100.99</v>
      </c>
      <c r="J16" s="43">
        <f>'2'!I35</f>
        <v>468.3</v>
      </c>
      <c r="K16" s="43">
        <f>'2'!J35</f>
        <v>749.9</v>
      </c>
      <c r="L16" s="43">
        <f>'2'!K35</f>
        <v>813.27</v>
      </c>
      <c r="M16" s="43">
        <f>'2'!L35</f>
        <v>798.36</v>
      </c>
      <c r="N16" s="43">
        <f>'2'!M35</f>
        <v>474.19</v>
      </c>
      <c r="O16" s="43">
        <f>'2'!N35</f>
        <v>263.97000000000003</v>
      </c>
      <c r="P16" s="43">
        <f>'2'!O35</f>
        <v>83.92</v>
      </c>
      <c r="Q16" s="43">
        <f>'2'!P35</f>
        <v>659.34</v>
      </c>
      <c r="S16"/>
    </row>
    <row r="17" spans="1:21" s="7" customFormat="1">
      <c r="A17" s="128" t="s">
        <v>112</v>
      </c>
      <c r="B17" s="128"/>
      <c r="C17" s="128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18" spans="1:21" s="7" customFormat="1">
      <c r="A18" s="136" t="s">
        <v>39</v>
      </c>
      <c r="B18" s="136"/>
      <c r="C18" s="136"/>
      <c r="D18" s="43">
        <f>SUM(F18:Q18)</f>
        <v>1550</v>
      </c>
      <c r="E18" s="28">
        <f>((100*D18)/D19)</f>
        <v>2.3056338335034319</v>
      </c>
      <c r="F18" s="43">
        <v>50</v>
      </c>
      <c r="G18" s="43">
        <v>50</v>
      </c>
      <c r="H18" s="43">
        <v>100</v>
      </c>
      <c r="I18" s="46">
        <v>150</v>
      </c>
      <c r="J18" s="46">
        <v>150</v>
      </c>
      <c r="K18" s="46">
        <v>150</v>
      </c>
      <c r="L18" s="46">
        <v>150</v>
      </c>
      <c r="M18" s="46">
        <v>150</v>
      </c>
      <c r="N18" s="46">
        <v>150</v>
      </c>
      <c r="O18" s="46">
        <v>150</v>
      </c>
      <c r="P18" s="46">
        <v>150</v>
      </c>
      <c r="Q18" s="46">
        <v>150</v>
      </c>
      <c r="R18"/>
      <c r="S18"/>
      <c r="T18"/>
      <c r="U18"/>
    </row>
    <row r="19" spans="1:21" ht="21">
      <c r="A19" s="127" t="s">
        <v>113</v>
      </c>
      <c r="B19" s="127"/>
      <c r="C19" s="127"/>
      <c r="D19" s="159">
        <f>SUM(D15-D16+D18)</f>
        <v>67226.633191999994</v>
      </c>
      <c r="E19" s="159"/>
      <c r="F19" s="159"/>
    </row>
    <row r="22" spans="1:21" s="7" customFormat="1" ht="15" customHeight="1">
      <c r="A22" s="127" t="s">
        <v>17</v>
      </c>
      <c r="B22" s="127"/>
      <c r="C22" s="127"/>
      <c r="D22" s="8" t="s">
        <v>14</v>
      </c>
      <c r="E22" s="9" t="s">
        <v>15</v>
      </c>
      <c r="F22" s="9" t="s">
        <v>2</v>
      </c>
      <c r="G22" s="9" t="s">
        <v>3</v>
      </c>
      <c r="H22" s="9" t="s">
        <v>5</v>
      </c>
      <c r="I22" s="9" t="s">
        <v>6</v>
      </c>
      <c r="J22" s="9" t="s">
        <v>7</v>
      </c>
      <c r="K22" s="9" t="s">
        <v>8</v>
      </c>
      <c r="L22" s="9" t="s">
        <v>9</v>
      </c>
      <c r="M22" s="9" t="s">
        <v>4</v>
      </c>
      <c r="N22" s="9" t="s">
        <v>10</v>
      </c>
      <c r="O22" s="9" t="s">
        <v>11</v>
      </c>
      <c r="P22" s="9" t="s">
        <v>12</v>
      </c>
      <c r="Q22" s="9" t="s">
        <v>16</v>
      </c>
    </row>
    <row r="23" spans="1:21">
      <c r="A23" s="128" t="s">
        <v>41</v>
      </c>
      <c r="B23" s="128"/>
      <c r="C23" s="128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21">
      <c r="A24" s="135" t="s">
        <v>114</v>
      </c>
      <c r="B24" s="135"/>
      <c r="C24" s="135"/>
      <c r="D24" s="44">
        <f>SUM(F24:Q24)</f>
        <v>40024.230866907375</v>
      </c>
      <c r="E24" s="25"/>
      <c r="F24" s="44">
        <f>SUM('2'!E50+'2'!E51+'2'!E52+'2'!E53)</f>
        <v>1284.7893498105</v>
      </c>
      <c r="G24" s="44">
        <f>SUM('2'!F50+'2'!F51+'2'!F52+'2'!F53)</f>
        <v>1478.0566125187499</v>
      </c>
      <c r="H24" s="44">
        <f>SUM('2'!G50+'2'!G51+'2'!G52+'2'!G53)</f>
        <v>2133.6147867656246</v>
      </c>
      <c r="I24" s="44">
        <f>SUM('2'!H50+'2'!H51+'2'!H52+'2'!H53)</f>
        <v>2321.9221885359375</v>
      </c>
      <c r="J24" s="44">
        <f>SUM('2'!I50+'2'!I51+'2'!I52+'2'!I53)</f>
        <v>3443.9726544328123</v>
      </c>
      <c r="K24" s="44">
        <f>SUM('2'!J50+'2'!J51+'2'!J52+'2'!J53)</f>
        <v>4464.025775170312</v>
      </c>
      <c r="L24" s="44">
        <f>SUM('2'!K50+'2'!K51+'2'!K52+'2'!K53)</f>
        <v>5715.8571447890627</v>
      </c>
      <c r="M24" s="44">
        <f>SUM('2'!L50+'2'!L51+'2'!L52+'2'!L53)</f>
        <v>6011.1579546609373</v>
      </c>
      <c r="N24" s="44">
        <f>SUM('2'!M50+'2'!M51+'2'!M52+'2'!M53)</f>
        <v>4252.2818714999994</v>
      </c>
      <c r="O24" s="44">
        <f>SUM('2'!N50+'2'!N51+'2'!N52+'2'!N53)</f>
        <v>2551.4314347703121</v>
      </c>
      <c r="P24" s="44">
        <f>SUM('2'!O50+'2'!O51+'2'!O52+'2'!O53)</f>
        <v>1642.9580520468749</v>
      </c>
      <c r="Q24" s="44">
        <f>SUM('2'!P50+'2'!P51+'2'!P52+'2'!P53)</f>
        <v>4724.1630419062503</v>
      </c>
    </row>
    <row r="25" spans="1:21">
      <c r="A25" s="135" t="s">
        <v>115</v>
      </c>
      <c r="B25" s="135"/>
      <c r="C25" s="135"/>
      <c r="D25" s="44">
        <f>SUM(F25:Q25)</f>
        <v>800.48461733814759</v>
      </c>
      <c r="E25" s="25"/>
      <c r="F25" s="44">
        <f>'2'!E54</f>
        <v>302.52762734467882</v>
      </c>
      <c r="G25" s="44">
        <f>'2'!F54</f>
        <v>0</v>
      </c>
      <c r="H25" s="44">
        <f>'2'!G54</f>
        <v>0</v>
      </c>
      <c r="I25" s="44">
        <f>'2'!H54</f>
        <v>0</v>
      </c>
      <c r="J25" s="44">
        <f>'2'!I54</f>
        <v>0</v>
      </c>
      <c r="K25" s="44">
        <f>'2'!J54</f>
        <v>0</v>
      </c>
      <c r="L25" s="44">
        <f>'2'!K54</f>
        <v>497.95698999346877</v>
      </c>
      <c r="M25" s="44">
        <f>'2'!L54</f>
        <v>0</v>
      </c>
      <c r="N25" s="44">
        <f>'2'!M54</f>
        <v>0</v>
      </c>
      <c r="O25" s="44">
        <f>'2'!N54</f>
        <v>0</v>
      </c>
      <c r="P25" s="44">
        <f>'2'!O54</f>
        <v>0</v>
      </c>
      <c r="Q25" s="44">
        <f>'2'!P54</f>
        <v>0</v>
      </c>
    </row>
    <row r="26" spans="1:21">
      <c r="A26" s="128" t="s">
        <v>42</v>
      </c>
      <c r="B26" s="128"/>
      <c r="C26" s="128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</row>
    <row r="27" spans="1:21">
      <c r="A27" s="135" t="s">
        <v>44</v>
      </c>
      <c r="B27" s="135"/>
      <c r="C27" s="135"/>
      <c r="D27" s="44">
        <f>SUM(F27:Q27)</f>
        <v>2550</v>
      </c>
      <c r="E27" s="25"/>
      <c r="F27" s="44">
        <f>'2'!E62</f>
        <v>200</v>
      </c>
      <c r="G27" s="44">
        <f>'2'!F62</f>
        <v>250</v>
      </c>
      <c r="H27" s="44">
        <f>'2'!G62</f>
        <v>200</v>
      </c>
      <c r="I27" s="44">
        <f>'2'!H62</f>
        <v>300</v>
      </c>
      <c r="J27" s="44">
        <f>'2'!I62</f>
        <v>350</v>
      </c>
      <c r="K27" s="44">
        <f>'2'!J62</f>
        <v>100</v>
      </c>
      <c r="L27" s="44">
        <f>'2'!K62</f>
        <v>200</v>
      </c>
      <c r="M27" s="44">
        <f>'2'!L62</f>
        <v>300</v>
      </c>
      <c r="N27" s="44">
        <f>'2'!M62</f>
        <v>100</v>
      </c>
      <c r="O27" s="44">
        <f>'2'!N62</f>
        <v>100</v>
      </c>
      <c r="P27" s="44">
        <f>'2'!O62</f>
        <v>150</v>
      </c>
      <c r="Q27" s="44">
        <f>'2'!P62</f>
        <v>300</v>
      </c>
    </row>
    <row r="28" spans="1:21">
      <c r="A28" s="135" t="s">
        <v>45</v>
      </c>
      <c r="B28" s="135"/>
      <c r="C28" s="135"/>
      <c r="D28" s="44">
        <f>SUM(F28:Q28)</f>
        <v>7200</v>
      </c>
      <c r="E28" s="25"/>
      <c r="F28" s="44">
        <f>'2'!E59</f>
        <v>600</v>
      </c>
      <c r="G28" s="44">
        <f>'2'!F59</f>
        <v>600</v>
      </c>
      <c r="H28" s="44">
        <f>'2'!G59</f>
        <v>600</v>
      </c>
      <c r="I28" s="44">
        <f>'2'!H59</f>
        <v>600</v>
      </c>
      <c r="J28" s="44">
        <f>'2'!I59</f>
        <v>600</v>
      </c>
      <c r="K28" s="44">
        <f>'2'!J59</f>
        <v>600</v>
      </c>
      <c r="L28" s="44">
        <f>'2'!K59</f>
        <v>600</v>
      </c>
      <c r="M28" s="44">
        <f>'2'!L59</f>
        <v>600</v>
      </c>
      <c r="N28" s="44">
        <f>'2'!M59</f>
        <v>600</v>
      </c>
      <c r="O28" s="44">
        <f>'2'!N59</f>
        <v>600</v>
      </c>
      <c r="P28" s="44">
        <f>'2'!O59</f>
        <v>600</v>
      </c>
      <c r="Q28" s="44">
        <f>'2'!P59</f>
        <v>600</v>
      </c>
    </row>
    <row r="29" spans="1:21">
      <c r="A29" s="128" t="s">
        <v>43</v>
      </c>
      <c r="B29" s="128"/>
      <c r="C29" s="128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pans="1:21">
      <c r="A30" s="135" t="s">
        <v>46</v>
      </c>
      <c r="B30" s="135"/>
      <c r="C30" s="135"/>
      <c r="D30" s="44">
        <f>SUM(F30:Q30)</f>
        <v>3600</v>
      </c>
      <c r="E30" s="25"/>
      <c r="F30" s="44">
        <v>300</v>
      </c>
      <c r="G30" s="44">
        <v>300</v>
      </c>
      <c r="H30" s="44">
        <v>300</v>
      </c>
      <c r="I30" s="44">
        <v>300</v>
      </c>
      <c r="J30" s="44">
        <v>300</v>
      </c>
      <c r="K30" s="44">
        <v>300</v>
      </c>
      <c r="L30" s="44">
        <v>300</v>
      </c>
      <c r="M30" s="44">
        <v>300</v>
      </c>
      <c r="N30" s="44">
        <v>300</v>
      </c>
      <c r="O30" s="44">
        <v>300</v>
      </c>
      <c r="P30" s="44">
        <v>300</v>
      </c>
      <c r="Q30" s="44">
        <v>300</v>
      </c>
    </row>
    <row r="31" spans="1:21">
      <c r="A31" s="134" t="s">
        <v>27</v>
      </c>
      <c r="B31" s="134"/>
      <c r="C31" s="134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</row>
    <row r="32" spans="1:21">
      <c r="A32" s="126" t="s">
        <v>47</v>
      </c>
      <c r="B32" s="126"/>
      <c r="C32" s="126"/>
      <c r="D32" s="44">
        <f>SUM(F32:Q32)</f>
        <v>4900</v>
      </c>
      <c r="E32" s="25"/>
      <c r="F32" s="44">
        <f>'2'!E69</f>
        <v>3000</v>
      </c>
      <c r="G32" s="44">
        <f>'2'!F69</f>
        <v>1000</v>
      </c>
      <c r="H32" s="44">
        <f>'2'!G69</f>
        <v>0</v>
      </c>
      <c r="I32" s="44">
        <f>'2'!H69</f>
        <v>0</v>
      </c>
      <c r="J32" s="44">
        <f>'2'!I69</f>
        <v>0</v>
      </c>
      <c r="K32" s="44">
        <f>'2'!J69</f>
        <v>300</v>
      </c>
      <c r="L32" s="44">
        <f>'2'!K69</f>
        <v>300</v>
      </c>
      <c r="M32" s="44">
        <f>'2'!L69</f>
        <v>0</v>
      </c>
      <c r="N32" s="44">
        <f>'2'!M69</f>
        <v>0</v>
      </c>
      <c r="O32" s="44">
        <f>'2'!N69</f>
        <v>0</v>
      </c>
      <c r="P32" s="44">
        <f>'2'!O69</f>
        <v>0</v>
      </c>
      <c r="Q32" s="44">
        <f>'2'!P69</f>
        <v>300</v>
      </c>
    </row>
    <row r="33" spans="1:17">
      <c r="A33" s="126" t="s">
        <v>116</v>
      </c>
      <c r="B33" s="126"/>
      <c r="C33" s="126"/>
      <c r="D33" s="44">
        <f>SUM(F33:Q33)</f>
        <v>0</v>
      </c>
      <c r="E33" s="25"/>
      <c r="F33" s="44">
        <f>'2'!E70</f>
        <v>0</v>
      </c>
      <c r="G33" s="44">
        <f>'2'!F70</f>
        <v>0</v>
      </c>
      <c r="H33" s="44">
        <f>'2'!G70</f>
        <v>0</v>
      </c>
      <c r="I33" s="44">
        <f>'2'!H70</f>
        <v>0</v>
      </c>
      <c r="J33" s="44">
        <f>'2'!I70</f>
        <v>0</v>
      </c>
      <c r="K33" s="44">
        <f>'2'!J70</f>
        <v>0</v>
      </c>
      <c r="L33" s="44">
        <f>'2'!K70</f>
        <v>0</v>
      </c>
      <c r="M33" s="44">
        <f>'2'!L70</f>
        <v>0</v>
      </c>
      <c r="N33" s="44">
        <f>'2'!M70</f>
        <v>0</v>
      </c>
      <c r="O33" s="44">
        <f>'2'!N70</f>
        <v>0</v>
      </c>
      <c r="P33" s="44">
        <f>'2'!O70</f>
        <v>0</v>
      </c>
      <c r="Q33" s="44">
        <f>'2'!P70</f>
        <v>0</v>
      </c>
    </row>
    <row r="34" spans="1:17">
      <c r="A34" s="126" t="s">
        <v>49</v>
      </c>
      <c r="B34" s="126"/>
      <c r="C34" s="126"/>
      <c r="D34" s="44">
        <f>SUM(F34:Q34)</f>
        <v>500</v>
      </c>
      <c r="E34" s="25"/>
      <c r="F34" s="44">
        <f>'2'!E71</f>
        <v>200</v>
      </c>
      <c r="G34" s="44">
        <f>'2'!F71</f>
        <v>100</v>
      </c>
      <c r="H34" s="44">
        <f>'2'!G71</f>
        <v>0</v>
      </c>
      <c r="I34" s="44">
        <f>'2'!H71</f>
        <v>0</v>
      </c>
      <c r="J34" s="44">
        <f>'2'!I71</f>
        <v>0</v>
      </c>
      <c r="K34" s="44">
        <f>'2'!J71</f>
        <v>0</v>
      </c>
      <c r="L34" s="44">
        <f>'2'!K71</f>
        <v>100</v>
      </c>
      <c r="M34" s="44">
        <f>'2'!L71</f>
        <v>0</v>
      </c>
      <c r="N34" s="44">
        <f>'2'!M71</f>
        <v>0</v>
      </c>
      <c r="O34" s="44">
        <f>'2'!N71</f>
        <v>0</v>
      </c>
      <c r="P34" s="44">
        <f>'2'!O71</f>
        <v>100</v>
      </c>
      <c r="Q34" s="44">
        <f>'2'!P71</f>
        <v>0</v>
      </c>
    </row>
    <row r="35" spans="1:17">
      <c r="A35" s="126" t="s">
        <v>102</v>
      </c>
      <c r="B35" s="126"/>
      <c r="C35" s="126"/>
      <c r="D35" s="44">
        <f>SUM(F35:Q35)</f>
        <v>600</v>
      </c>
      <c r="E35" s="25"/>
      <c r="F35" s="44">
        <f>'2'!E72</f>
        <v>0</v>
      </c>
      <c r="G35" s="44">
        <f>'2'!F72</f>
        <v>0</v>
      </c>
      <c r="H35" s="44">
        <f>'2'!G72</f>
        <v>0</v>
      </c>
      <c r="I35" s="44">
        <f>'2'!H72</f>
        <v>0</v>
      </c>
      <c r="J35" s="44">
        <f>'2'!I72</f>
        <v>200</v>
      </c>
      <c r="K35" s="44">
        <f>'2'!J72</f>
        <v>200</v>
      </c>
      <c r="L35" s="44">
        <f>'2'!K72</f>
        <v>200</v>
      </c>
      <c r="M35" s="44">
        <f>'2'!L72</f>
        <v>0</v>
      </c>
      <c r="N35" s="44">
        <f>'2'!M72</f>
        <v>0</v>
      </c>
      <c r="O35" s="44">
        <f>'2'!N72</f>
        <v>0</v>
      </c>
      <c r="P35" s="44">
        <f>'2'!O72</f>
        <v>0</v>
      </c>
      <c r="Q35" s="44">
        <f>'2'!P72</f>
        <v>0</v>
      </c>
    </row>
    <row r="36" spans="1:17">
      <c r="A36" s="126" t="s">
        <v>51</v>
      </c>
      <c r="B36" s="126"/>
      <c r="C36" s="126"/>
      <c r="D36" s="44">
        <f>SUM(F36:Q36)</f>
        <v>500</v>
      </c>
      <c r="E36" s="25"/>
      <c r="F36" s="44">
        <f>'2'!E73</f>
        <v>500</v>
      </c>
      <c r="G36" s="44">
        <f>'2'!F73</f>
        <v>0</v>
      </c>
      <c r="H36" s="44">
        <f>'2'!G73</f>
        <v>0</v>
      </c>
      <c r="I36" s="44">
        <f>'2'!H73</f>
        <v>0</v>
      </c>
      <c r="J36" s="44">
        <f>'2'!I73</f>
        <v>0</v>
      </c>
      <c r="K36" s="44">
        <f>'2'!J73</f>
        <v>0</v>
      </c>
      <c r="L36" s="44">
        <f>'2'!K73</f>
        <v>0</v>
      </c>
      <c r="M36" s="44">
        <f>'2'!L73</f>
        <v>0</v>
      </c>
      <c r="N36" s="44">
        <f>'2'!M73</f>
        <v>0</v>
      </c>
      <c r="O36" s="44">
        <f>'2'!N73</f>
        <v>0</v>
      </c>
      <c r="P36" s="44">
        <f>'2'!O73</f>
        <v>0</v>
      </c>
      <c r="Q36" s="44">
        <f>'2'!P73</f>
        <v>0</v>
      </c>
    </row>
    <row r="37" spans="1:17">
      <c r="A37" s="134" t="s">
        <v>30</v>
      </c>
      <c r="B37" s="134"/>
      <c r="C37" s="134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1:17" s="7" customFormat="1">
      <c r="A38" s="126" t="s">
        <v>52</v>
      </c>
      <c r="B38" s="126"/>
      <c r="C38" s="126"/>
      <c r="D38" s="43">
        <f>SUM(F38:Q38)</f>
        <v>0</v>
      </c>
      <c r="E38" s="24"/>
      <c r="F38" s="43">
        <f>'2'!E78</f>
        <v>0</v>
      </c>
      <c r="G38" s="43">
        <f>'2'!F78</f>
        <v>0</v>
      </c>
      <c r="H38" s="43">
        <f>'2'!G78</f>
        <v>0</v>
      </c>
      <c r="I38" s="43">
        <f>'2'!H78</f>
        <v>0</v>
      </c>
      <c r="J38" s="43">
        <f>'2'!I78</f>
        <v>0</v>
      </c>
      <c r="K38" s="43">
        <f>'2'!J78</f>
        <v>0</v>
      </c>
      <c r="L38" s="43">
        <f>'2'!K78</f>
        <v>0</v>
      </c>
      <c r="M38" s="43">
        <f>'2'!L78</f>
        <v>0</v>
      </c>
      <c r="N38" s="43">
        <f>'2'!M78</f>
        <v>0</v>
      </c>
      <c r="O38" s="43">
        <f>'2'!N78</f>
        <v>0</v>
      </c>
      <c r="P38" s="43">
        <f>'2'!O78</f>
        <v>0</v>
      </c>
      <c r="Q38" s="43">
        <f>'2'!P78</f>
        <v>0</v>
      </c>
    </row>
    <row r="39" spans="1:17" s="7" customFormat="1">
      <c r="A39" s="126" t="s">
        <v>53</v>
      </c>
      <c r="B39" s="126"/>
      <c r="C39" s="126"/>
      <c r="D39" s="43">
        <f>SUM(F39:Q39)</f>
        <v>200</v>
      </c>
      <c r="E39" s="24"/>
      <c r="F39" s="43">
        <f>'2'!E79</f>
        <v>200</v>
      </c>
      <c r="G39" s="43">
        <f>'2'!F79</f>
        <v>0</v>
      </c>
      <c r="H39" s="43">
        <f>'2'!G79</f>
        <v>0</v>
      </c>
      <c r="I39" s="43">
        <f>'2'!H79</f>
        <v>0</v>
      </c>
      <c r="J39" s="43">
        <f>'2'!I79</f>
        <v>0</v>
      </c>
      <c r="K39" s="43">
        <f>'2'!J79</f>
        <v>0</v>
      </c>
      <c r="L39" s="43">
        <f>'2'!K79</f>
        <v>0</v>
      </c>
      <c r="M39" s="43">
        <f>'2'!L79</f>
        <v>0</v>
      </c>
      <c r="N39" s="43">
        <f>'2'!M79</f>
        <v>0</v>
      </c>
      <c r="O39" s="43">
        <f>'2'!N79</f>
        <v>0</v>
      </c>
      <c r="P39" s="43">
        <f>'2'!O79</f>
        <v>0</v>
      </c>
      <c r="Q39" s="43">
        <f>'2'!P79</f>
        <v>0</v>
      </c>
    </row>
    <row r="40" spans="1:17" s="7" customFormat="1">
      <c r="A40" s="126" t="s">
        <v>117</v>
      </c>
      <c r="B40" s="126"/>
      <c r="C40" s="126"/>
      <c r="D40" s="43">
        <f>SUM(F40:Q40)</f>
        <v>0</v>
      </c>
      <c r="E40" s="24"/>
      <c r="F40" s="43">
        <f>'2'!E80</f>
        <v>0</v>
      </c>
      <c r="G40" s="43">
        <f>'2'!F80</f>
        <v>0</v>
      </c>
      <c r="H40" s="43">
        <f>'2'!G80</f>
        <v>0</v>
      </c>
      <c r="I40" s="43">
        <f>'2'!H80</f>
        <v>0</v>
      </c>
      <c r="J40" s="43">
        <f>'2'!I80</f>
        <v>0</v>
      </c>
      <c r="K40" s="43">
        <f>'2'!J80</f>
        <v>0</v>
      </c>
      <c r="L40" s="43">
        <f>'2'!K80</f>
        <v>0</v>
      </c>
      <c r="M40" s="43">
        <f>'2'!L80</f>
        <v>0</v>
      </c>
      <c r="N40" s="43">
        <f>'2'!M80</f>
        <v>0</v>
      </c>
      <c r="O40" s="43">
        <f>'2'!N80</f>
        <v>0</v>
      </c>
      <c r="P40" s="43">
        <f>'2'!O80</f>
        <v>0</v>
      </c>
      <c r="Q40" s="43">
        <f>'2'!P80</f>
        <v>0</v>
      </c>
    </row>
    <row r="41" spans="1:17" s="7" customFormat="1">
      <c r="A41" s="126" t="s">
        <v>103</v>
      </c>
      <c r="B41" s="126"/>
      <c r="C41" s="126"/>
      <c r="D41" s="43">
        <f>SUM(F41:Q41)</f>
        <v>300</v>
      </c>
      <c r="E41" s="24"/>
      <c r="F41" s="43">
        <f>'2'!E81</f>
        <v>300</v>
      </c>
      <c r="G41" s="43">
        <f>'2'!F81</f>
        <v>0</v>
      </c>
      <c r="H41" s="43">
        <f>'2'!G81</f>
        <v>0</v>
      </c>
      <c r="I41" s="43">
        <f>'2'!H81</f>
        <v>0</v>
      </c>
      <c r="J41" s="43">
        <f>'2'!I81</f>
        <v>0</v>
      </c>
      <c r="K41" s="43">
        <f>'2'!J81</f>
        <v>0</v>
      </c>
      <c r="L41" s="43">
        <f>'2'!K81</f>
        <v>0</v>
      </c>
      <c r="M41" s="43">
        <f>'2'!L81</f>
        <v>0</v>
      </c>
      <c r="N41" s="43">
        <f>'2'!M81</f>
        <v>0</v>
      </c>
      <c r="O41" s="43">
        <f>'2'!N81</f>
        <v>0</v>
      </c>
      <c r="P41" s="43">
        <f>'2'!O81</f>
        <v>0</v>
      </c>
      <c r="Q41" s="43">
        <f>'2'!P81</f>
        <v>0</v>
      </c>
    </row>
    <row r="42" spans="1:17" s="7" customFormat="1">
      <c r="A42" s="126" t="s">
        <v>54</v>
      </c>
      <c r="B42" s="126"/>
      <c r="C42" s="126"/>
      <c r="D42" s="43">
        <f>SUM(F42:Q42)</f>
        <v>0</v>
      </c>
      <c r="E42" s="24"/>
      <c r="F42" s="43">
        <f>'2'!E82</f>
        <v>0</v>
      </c>
      <c r="G42" s="43">
        <f>'2'!F82</f>
        <v>0</v>
      </c>
      <c r="H42" s="43">
        <f>'2'!G82</f>
        <v>0</v>
      </c>
      <c r="I42" s="43">
        <f>'2'!H82</f>
        <v>0</v>
      </c>
      <c r="J42" s="43">
        <f>'2'!I82</f>
        <v>0</v>
      </c>
      <c r="K42" s="43">
        <f>'2'!J82</f>
        <v>0</v>
      </c>
      <c r="L42" s="43">
        <f>'2'!K82</f>
        <v>0</v>
      </c>
      <c r="M42" s="43">
        <f>'2'!L82</f>
        <v>0</v>
      </c>
      <c r="N42" s="43">
        <f>'2'!M82</f>
        <v>0</v>
      </c>
      <c r="O42" s="43">
        <f>'2'!N82</f>
        <v>0</v>
      </c>
      <c r="P42" s="43">
        <f>'2'!O82</f>
        <v>0</v>
      </c>
      <c r="Q42" s="43">
        <f>'2'!P82</f>
        <v>0</v>
      </c>
    </row>
    <row r="43" spans="1:17" s="7" customFormat="1" ht="21">
      <c r="A43" s="127" t="s">
        <v>75</v>
      </c>
      <c r="B43" s="127"/>
      <c r="C43" s="127"/>
      <c r="D43" s="159">
        <f>SUM(D24+D25+D27+D28+D30+D32+D33+D34+D35+D36+D38+D39+D40+D41+D42)</f>
        <v>61174.71548424552</v>
      </c>
      <c r="E43" s="159"/>
      <c r="F43" s="159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7" customFormat="1">
      <c r="A44" s="10"/>
      <c r="B44" s="10"/>
      <c r="C44" s="10"/>
    </row>
    <row r="45" spans="1:17" s="7" customFormat="1">
      <c r="A45" s="128" t="s">
        <v>40</v>
      </c>
      <c r="B45" s="128"/>
      <c r="C45" s="128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5"/>
    </row>
    <row r="46" spans="1:17" s="7" customFormat="1">
      <c r="A46" s="131" t="s">
        <v>109</v>
      </c>
      <c r="B46" s="131"/>
      <c r="C46" s="131"/>
      <c r="D46" s="163">
        <f>D19</f>
        <v>67226.633191999994</v>
      </c>
      <c r="E46" s="163"/>
      <c r="F46" s="163"/>
      <c r="G46" s="117" t="s">
        <v>118</v>
      </c>
      <c r="H46" s="118"/>
      <c r="I46" s="119"/>
      <c r="J46" s="120">
        <f>(456*12)</f>
        <v>5472</v>
      </c>
      <c r="K46" s="121"/>
      <c r="L46" s="122"/>
      <c r="M46" s="26" t="s">
        <v>78</v>
      </c>
      <c r="N46" s="26"/>
      <c r="O46" s="26"/>
    </row>
    <row r="47" spans="1:17" s="7" customFormat="1">
      <c r="A47" s="131" t="s">
        <v>17</v>
      </c>
      <c r="B47" s="131"/>
      <c r="C47" s="131"/>
      <c r="D47" s="163">
        <f>D43</f>
        <v>61174.71548424552</v>
      </c>
      <c r="E47" s="163"/>
      <c r="F47" s="163"/>
      <c r="G47" s="123" t="s">
        <v>77</v>
      </c>
      <c r="H47" s="124"/>
      <c r="I47" s="125"/>
      <c r="J47" s="120">
        <f>((456*48)-D48)</f>
        <v>21888</v>
      </c>
      <c r="K47" s="121"/>
      <c r="L47" s="122"/>
    </row>
    <row r="48" spans="1:17" s="7" customForma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/>
    </row>
    <row r="49" spans="1:33" s="13" customFormat="1" ht="15.75" thickBot="1">
      <c r="A49"/>
      <c r="B49"/>
      <c r="C49"/>
      <c r="D49"/>
      <c r="E49"/>
      <c r="F49"/>
      <c r="G4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s="7" customFormat="1" ht="21" customHeight="1">
      <c r="A50" s="132" t="s">
        <v>55</v>
      </c>
      <c r="B50" s="132"/>
      <c r="C50" s="133"/>
      <c r="D50" s="160">
        <f>(D46-D47)</f>
        <v>6051.9177077544737</v>
      </c>
      <c r="E50" s="161"/>
      <c r="F50" s="162"/>
      <c r="I50" s="3"/>
      <c r="J50" s="108" t="s">
        <v>57</v>
      </c>
      <c r="K50" s="109"/>
      <c r="L50" s="110"/>
      <c r="M50" s="99">
        <f>(D50-D51)</f>
        <v>4781.0149891260344</v>
      </c>
      <c r="N50" s="100"/>
      <c r="O50" s="101"/>
    </row>
    <row r="51" spans="1:33" s="7" customFormat="1" ht="21" customHeight="1">
      <c r="A51" s="129" t="s">
        <v>56</v>
      </c>
      <c r="B51" s="129"/>
      <c r="C51" s="130"/>
      <c r="D51" s="160">
        <f>(D50*21)/100</f>
        <v>1270.9027186284395</v>
      </c>
      <c r="E51" s="161"/>
      <c r="F51" s="162"/>
      <c r="I51" s="3"/>
      <c r="J51" s="111"/>
      <c r="K51" s="112"/>
      <c r="L51" s="113"/>
      <c r="M51" s="102"/>
      <c r="N51" s="103"/>
      <c r="O51" s="104"/>
    </row>
    <row r="52" spans="1:33" ht="15.75" customHeight="1" thickBot="1">
      <c r="I52" s="3"/>
      <c r="J52" s="114"/>
      <c r="K52" s="115"/>
      <c r="L52" s="116"/>
      <c r="M52" s="105"/>
      <c r="N52" s="106"/>
      <c r="O52" s="107"/>
    </row>
    <row r="55" spans="1:33" ht="15.75">
      <c r="B55" s="87" t="s">
        <v>144</v>
      </c>
      <c r="C55" s="87"/>
      <c r="D55" s="92">
        <f>'1'!D28+'1'!D30+'1'!D32+'1'!D34+'1'!D35+'1'!D36+'1'!D39+'1'!D41</f>
        <v>17800</v>
      </c>
      <c r="E55" s="87"/>
      <c r="F55" s="87"/>
    </row>
    <row r="56" spans="1:33" ht="15.75">
      <c r="B56" s="88" t="s">
        <v>145</v>
      </c>
      <c r="C56" s="88"/>
      <c r="D56" s="93">
        <f>D24+D25+D27</f>
        <v>43374.71548424552</v>
      </c>
      <c r="E56" s="88"/>
      <c r="F56" s="88"/>
    </row>
    <row r="57" spans="1:33" ht="15.75">
      <c r="B57" s="89" t="s">
        <v>109</v>
      </c>
      <c r="C57" s="90"/>
      <c r="D57" s="94">
        <f>D19</f>
        <v>67226.633191999994</v>
      </c>
      <c r="E57" s="94"/>
      <c r="F57" s="94"/>
    </row>
    <row r="58" spans="1:33" ht="18.75">
      <c r="B58" s="91" t="s">
        <v>146</v>
      </c>
      <c r="C58" s="91"/>
      <c r="D58" s="95">
        <f>+D55/(1-(D56/D57))</f>
        <v>50169.302337839406</v>
      </c>
      <c r="E58" s="96"/>
      <c r="F58" s="97"/>
    </row>
  </sheetData>
  <mergeCells count="61">
    <mergeCell ref="D43:F43"/>
    <mergeCell ref="D19:F19"/>
    <mergeCell ref="D50:F50"/>
    <mergeCell ref="D51:F51"/>
    <mergeCell ref="D46:F46"/>
    <mergeCell ref="D47:F47"/>
    <mergeCell ref="Q5:S6"/>
    <mergeCell ref="Q7:S8"/>
    <mergeCell ref="B5:D7"/>
    <mergeCell ref="E5:G7"/>
    <mergeCell ref="J5:L7"/>
    <mergeCell ref="M5:O7"/>
    <mergeCell ref="A22:C22"/>
    <mergeCell ref="A13:C13"/>
    <mergeCell ref="A14:C14"/>
    <mergeCell ref="A15:C15"/>
    <mergeCell ref="A16:C16"/>
    <mergeCell ref="A17:C17"/>
    <mergeCell ref="A18:C18"/>
    <mergeCell ref="A19:C19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9:C39"/>
    <mergeCell ref="A35:C35"/>
    <mergeCell ref="A41:C41"/>
    <mergeCell ref="A32:C32"/>
    <mergeCell ref="A33:C33"/>
    <mergeCell ref="A34:C34"/>
    <mergeCell ref="A36:C36"/>
    <mergeCell ref="A37:C37"/>
    <mergeCell ref="A2:F3"/>
    <mergeCell ref="M50:O52"/>
    <mergeCell ref="J50:L52"/>
    <mergeCell ref="G46:I46"/>
    <mergeCell ref="J46:L46"/>
    <mergeCell ref="G47:I47"/>
    <mergeCell ref="J47:L47"/>
    <mergeCell ref="A42:C42"/>
    <mergeCell ref="A43:C43"/>
    <mergeCell ref="A45:C45"/>
    <mergeCell ref="A51:C51"/>
    <mergeCell ref="A46:C46"/>
    <mergeCell ref="A47:C47"/>
    <mergeCell ref="A50:C50"/>
    <mergeCell ref="A38:C38"/>
    <mergeCell ref="A40:C40"/>
    <mergeCell ref="B55:C55"/>
    <mergeCell ref="B56:C56"/>
    <mergeCell ref="B57:C57"/>
    <mergeCell ref="B58:C58"/>
    <mergeCell ref="D55:F55"/>
    <mergeCell ref="D56:F56"/>
    <mergeCell ref="D57:F57"/>
    <mergeCell ref="D58:F5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T83"/>
  <sheetViews>
    <sheetView topLeftCell="A43" zoomScaleNormal="100" workbookViewId="0">
      <selection activeCell="A7" sqref="A7:D8"/>
    </sheetView>
  </sheetViews>
  <sheetFormatPr defaultColWidth="11.42578125" defaultRowHeight="15"/>
  <cols>
    <col min="1" max="1" width="11.85546875" bestFit="1" customWidth="1"/>
    <col min="3" max="3" width="16.140625" customWidth="1"/>
    <col min="4" max="4" width="11.5703125" bestFit="1" customWidth="1"/>
  </cols>
  <sheetData>
    <row r="2" spans="1:16" s="4" customFormat="1" ht="31.5">
      <c r="A2" s="166" t="s">
        <v>119</v>
      </c>
      <c r="B2" s="166"/>
      <c r="C2" s="166"/>
      <c r="D2" s="166"/>
      <c r="E2" s="166"/>
      <c r="F2" s="166"/>
    </row>
    <row r="3" spans="1:16" s="2" customFormat="1">
      <c r="A3" s="166"/>
      <c r="B3" s="166"/>
      <c r="C3" s="166"/>
      <c r="D3" s="166"/>
      <c r="E3" s="166"/>
      <c r="F3" s="166"/>
    </row>
    <row r="5" spans="1:16">
      <c r="A5" s="167"/>
      <c r="B5" s="167"/>
      <c r="C5" s="167"/>
      <c r="D5" s="167"/>
    </row>
    <row r="6" spans="1:16">
      <c r="H6" s="170" t="s">
        <v>31</v>
      </c>
      <c r="I6" s="170"/>
      <c r="J6" s="170"/>
    </row>
    <row r="7" spans="1:16">
      <c r="A7" s="37"/>
      <c r="B7" s="37"/>
      <c r="C7" s="37"/>
      <c r="D7" s="37"/>
    </row>
    <row r="9" spans="1:16" ht="23.25">
      <c r="A9" s="164" t="s">
        <v>82</v>
      </c>
      <c r="B9" s="164"/>
      <c r="C9" s="164"/>
      <c r="D9" s="164"/>
      <c r="E9" s="164"/>
      <c r="F9" s="164"/>
      <c r="G9" s="164"/>
      <c r="H9" s="164"/>
    </row>
    <row r="10" spans="1:16">
      <c r="A10" s="128" t="s">
        <v>81</v>
      </c>
      <c r="B10" s="128"/>
      <c r="C10" s="128"/>
      <c r="D10" s="16" t="s">
        <v>1</v>
      </c>
      <c r="E10" s="16" t="s">
        <v>2</v>
      </c>
      <c r="F10" s="16" t="s">
        <v>3</v>
      </c>
      <c r="G10" s="16" t="s">
        <v>5</v>
      </c>
      <c r="H10" s="16" t="s">
        <v>6</v>
      </c>
      <c r="I10" s="16" t="s">
        <v>7</v>
      </c>
      <c r="J10" s="16" t="s">
        <v>8</v>
      </c>
      <c r="K10" s="16" t="s">
        <v>9</v>
      </c>
      <c r="L10" s="16" t="s">
        <v>4</v>
      </c>
      <c r="M10" s="16" t="s">
        <v>10</v>
      </c>
      <c r="N10" s="16" t="s">
        <v>11</v>
      </c>
      <c r="O10" s="16" t="s">
        <v>12</v>
      </c>
      <c r="P10" s="16" t="s">
        <v>13</v>
      </c>
    </row>
    <row r="11" spans="1:16" s="7" customFormat="1" ht="15.75">
      <c r="A11" s="168" t="s">
        <v>120</v>
      </c>
      <c r="B11" s="168"/>
      <c r="C11" s="168"/>
      <c r="D11" s="172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4"/>
    </row>
    <row r="12" spans="1:16" s="7" customFormat="1">
      <c r="A12" s="136" t="s">
        <v>121</v>
      </c>
      <c r="B12" s="136"/>
      <c r="C12" s="136"/>
      <c r="D12" s="24">
        <f>SUM(E12:P12)</f>
        <v>260</v>
      </c>
      <c r="E12" s="24">
        <v>10</v>
      </c>
      <c r="F12" s="24">
        <v>12</v>
      </c>
      <c r="G12" s="24">
        <v>12</v>
      </c>
      <c r="H12" s="24">
        <v>15</v>
      </c>
      <c r="I12" s="24">
        <v>25</v>
      </c>
      <c r="J12" s="24">
        <v>31</v>
      </c>
      <c r="K12" s="24">
        <v>37</v>
      </c>
      <c r="L12" s="24">
        <v>35</v>
      </c>
      <c r="M12" s="24">
        <v>28</v>
      </c>
      <c r="N12" s="24">
        <v>17</v>
      </c>
      <c r="O12" s="24">
        <v>12</v>
      </c>
      <c r="P12" s="24">
        <v>26</v>
      </c>
    </row>
    <row r="13" spans="1:16" s="7" customFormat="1">
      <c r="A13" s="136" t="s">
        <v>122</v>
      </c>
      <c r="B13" s="136"/>
      <c r="C13" s="136"/>
      <c r="D13" s="43">
        <f t="shared" ref="D13:D30" si="0">SUM(E13:P13)</f>
        <v>24093.056884999998</v>
      </c>
      <c r="E13" s="43">
        <v>814.43969749999997</v>
      </c>
      <c r="F13" s="43">
        <v>978.1736249999999</v>
      </c>
      <c r="G13" s="43">
        <v>1978.1736249999999</v>
      </c>
      <c r="H13" s="43">
        <v>1822.71703125</v>
      </c>
      <c r="I13" s="43">
        <v>2037.8617187499999</v>
      </c>
      <c r="J13" s="43">
        <v>2526.9485312499996</v>
      </c>
      <c r="K13" s="43">
        <v>3516.0353437499998</v>
      </c>
      <c r="L13" s="43">
        <v>2953.0064062500001</v>
      </c>
      <c r="M13" s="43">
        <v>2282.4051249999998</v>
      </c>
      <c r="N13" s="43">
        <v>1385.7459687499997</v>
      </c>
      <c r="O13" s="43">
        <v>978.1736249999999</v>
      </c>
      <c r="P13" s="43">
        <v>2819.3761875</v>
      </c>
    </row>
    <row r="14" spans="1:16" s="7" customFormat="1">
      <c r="A14" s="126" t="s">
        <v>20</v>
      </c>
      <c r="B14" s="126"/>
      <c r="C14" s="126"/>
      <c r="D14" s="24">
        <f>SUM(E14:P14)</f>
        <v>26</v>
      </c>
      <c r="E14" s="24">
        <v>0</v>
      </c>
      <c r="F14" s="24">
        <v>1</v>
      </c>
      <c r="G14" s="24">
        <v>1</v>
      </c>
      <c r="H14" s="24">
        <v>1</v>
      </c>
      <c r="I14" s="24">
        <v>3</v>
      </c>
      <c r="J14" s="24">
        <v>4</v>
      </c>
      <c r="K14" s="24">
        <v>5</v>
      </c>
      <c r="L14" s="24">
        <v>5</v>
      </c>
      <c r="M14" s="24">
        <v>1</v>
      </c>
      <c r="N14" s="24">
        <v>1</v>
      </c>
      <c r="O14" s="24">
        <v>1</v>
      </c>
      <c r="P14" s="24">
        <v>3</v>
      </c>
    </row>
    <row r="15" spans="1:16">
      <c r="A15" s="169" t="s">
        <v>18</v>
      </c>
      <c r="B15" s="169"/>
      <c r="C15" s="30">
        <v>0.21</v>
      </c>
      <c r="D15" s="43">
        <f t="shared" si="0"/>
        <v>5059.54194585</v>
      </c>
      <c r="E15" s="44">
        <f>0.21*E13</f>
        <v>171.03233647499999</v>
      </c>
      <c r="F15" s="44">
        <f t="shared" ref="F15:P15" si="1">0.21*F13</f>
        <v>205.41646124999997</v>
      </c>
      <c r="G15" s="44">
        <f t="shared" si="1"/>
        <v>415.41646124999994</v>
      </c>
      <c r="H15" s="44">
        <f t="shared" si="1"/>
        <v>382.77057656249997</v>
      </c>
      <c r="I15" s="44">
        <f t="shared" si="1"/>
        <v>427.95096093749999</v>
      </c>
      <c r="J15" s="44">
        <f t="shared" si="1"/>
        <v>530.65919156249993</v>
      </c>
      <c r="K15" s="44">
        <f t="shared" si="1"/>
        <v>738.36742218749998</v>
      </c>
      <c r="L15" s="44">
        <f t="shared" si="1"/>
        <v>620.1313453125</v>
      </c>
      <c r="M15" s="44">
        <f t="shared" si="1"/>
        <v>479.30507624999996</v>
      </c>
      <c r="N15" s="44">
        <f t="shared" si="1"/>
        <v>291.00665343749995</v>
      </c>
      <c r="O15" s="44">
        <f t="shared" si="1"/>
        <v>205.41646124999997</v>
      </c>
      <c r="P15" s="44">
        <f t="shared" si="1"/>
        <v>592.06899937499998</v>
      </c>
    </row>
    <row r="16" spans="1:16" s="7" customFormat="1" ht="15.75">
      <c r="A16" s="165" t="s">
        <v>123</v>
      </c>
      <c r="B16" s="165"/>
      <c r="C16" s="165"/>
      <c r="D16" s="172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4"/>
    </row>
    <row r="17" spans="1:16" s="7" customFormat="1">
      <c r="A17" s="136" t="s">
        <v>121</v>
      </c>
      <c r="B17" s="136"/>
      <c r="C17" s="136"/>
      <c r="D17" s="24">
        <f t="shared" si="0"/>
        <v>207</v>
      </c>
      <c r="E17" s="24">
        <v>6</v>
      </c>
      <c r="F17" s="24">
        <v>7</v>
      </c>
      <c r="G17" s="24">
        <v>9</v>
      </c>
      <c r="H17" s="24">
        <v>10</v>
      </c>
      <c r="I17" s="24">
        <v>18</v>
      </c>
      <c r="J17" s="24">
        <v>23</v>
      </c>
      <c r="K17" s="24">
        <v>29</v>
      </c>
      <c r="L17" s="24">
        <v>31</v>
      </c>
      <c r="M17" s="24">
        <v>26</v>
      </c>
      <c r="N17" s="24">
        <v>12</v>
      </c>
      <c r="O17" s="24">
        <v>7</v>
      </c>
      <c r="P17" s="24">
        <v>29</v>
      </c>
    </row>
    <row r="18" spans="1:16" s="7" customFormat="1">
      <c r="A18" s="136" t="s">
        <v>122</v>
      </c>
      <c r="B18" s="136"/>
      <c r="C18" s="136"/>
      <c r="D18" s="43">
        <f t="shared" si="0"/>
        <v>15382.53664</v>
      </c>
      <c r="E18" s="43">
        <v>417.07120000000003</v>
      </c>
      <c r="F18" s="43">
        <v>489.84208000000001</v>
      </c>
      <c r="G18" s="43">
        <v>629.79696000000001</v>
      </c>
      <c r="H18" s="43">
        <v>699.77440000000001</v>
      </c>
      <c r="I18" s="43">
        <v>1259.59392</v>
      </c>
      <c r="J18" s="43">
        <v>1609.4811199999997</v>
      </c>
      <c r="K18" s="43">
        <v>2029.3457599999999</v>
      </c>
      <c r="L18" s="43">
        <v>2169.3006399999999</v>
      </c>
      <c r="M18" s="43">
        <v>1819.41344</v>
      </c>
      <c r="N18" s="43">
        <v>839.72928000000002</v>
      </c>
      <c r="O18" s="43">
        <v>489.84208000000001</v>
      </c>
      <c r="P18" s="43">
        <v>2929.3457600000002</v>
      </c>
    </row>
    <row r="19" spans="1:16" s="7" customFormat="1">
      <c r="A19" s="126" t="s">
        <v>20</v>
      </c>
      <c r="B19" s="126"/>
      <c r="C19" s="126"/>
      <c r="D19" s="24">
        <f>SUM(E19:P19)</f>
        <v>17</v>
      </c>
      <c r="E19" s="24">
        <v>0</v>
      </c>
      <c r="F19" s="24">
        <v>0</v>
      </c>
      <c r="G19" s="24">
        <v>0</v>
      </c>
      <c r="H19" s="24">
        <v>0</v>
      </c>
      <c r="I19" s="24">
        <v>1</v>
      </c>
      <c r="J19" s="24">
        <v>2</v>
      </c>
      <c r="K19" s="24">
        <v>3</v>
      </c>
      <c r="L19" s="24">
        <v>5</v>
      </c>
      <c r="M19" s="24">
        <v>2</v>
      </c>
      <c r="N19" s="24">
        <v>1</v>
      </c>
      <c r="O19" s="24">
        <v>0</v>
      </c>
      <c r="P19" s="24">
        <v>3</v>
      </c>
    </row>
    <row r="20" spans="1:16">
      <c r="A20" s="170" t="s">
        <v>18</v>
      </c>
      <c r="B20" s="170"/>
      <c r="C20" s="30">
        <v>0.21</v>
      </c>
      <c r="D20" s="43">
        <f t="shared" si="0"/>
        <v>3230.3326943999996</v>
      </c>
      <c r="E20" s="44">
        <f>0.21*E18</f>
        <v>87.584952000000001</v>
      </c>
      <c r="F20" s="44">
        <f t="shared" ref="F20:P20" si="2">0.21*F18</f>
        <v>102.8668368</v>
      </c>
      <c r="G20" s="44">
        <f t="shared" si="2"/>
        <v>132.2573616</v>
      </c>
      <c r="H20" s="44">
        <f t="shared" si="2"/>
        <v>146.95262399999999</v>
      </c>
      <c r="I20" s="44">
        <f t="shared" si="2"/>
        <v>264.51472319999999</v>
      </c>
      <c r="J20" s="44">
        <f t="shared" si="2"/>
        <v>337.99103519999994</v>
      </c>
      <c r="K20" s="44">
        <f t="shared" si="2"/>
        <v>426.1626096</v>
      </c>
      <c r="L20" s="44">
        <f t="shared" si="2"/>
        <v>455.55313439999998</v>
      </c>
      <c r="M20" s="44">
        <f t="shared" si="2"/>
        <v>382.07682239999997</v>
      </c>
      <c r="N20" s="44">
        <f t="shared" si="2"/>
        <v>176.34314879999999</v>
      </c>
      <c r="O20" s="44">
        <f t="shared" si="2"/>
        <v>102.8668368</v>
      </c>
      <c r="P20" s="44">
        <f t="shared" si="2"/>
        <v>615.1626096</v>
      </c>
    </row>
    <row r="21" spans="1:16" s="7" customFormat="1" ht="15.75">
      <c r="A21" s="165" t="s">
        <v>124</v>
      </c>
      <c r="B21" s="165"/>
      <c r="C21" s="165"/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4"/>
    </row>
    <row r="22" spans="1:16" s="7" customFormat="1">
      <c r="A22" s="136" t="s">
        <v>121</v>
      </c>
      <c r="B22" s="136"/>
      <c r="C22" s="136"/>
      <c r="D22" s="24">
        <f>SUM(E22:P22)</f>
        <v>93</v>
      </c>
      <c r="E22" s="24">
        <v>3</v>
      </c>
      <c r="F22" s="24">
        <v>4</v>
      </c>
      <c r="G22" s="24">
        <v>3</v>
      </c>
      <c r="H22" s="24">
        <v>5</v>
      </c>
      <c r="I22" s="24">
        <v>9</v>
      </c>
      <c r="J22" s="24">
        <v>14</v>
      </c>
      <c r="K22" s="24">
        <v>15</v>
      </c>
      <c r="L22" s="24">
        <v>13</v>
      </c>
      <c r="M22" s="24">
        <v>8</v>
      </c>
      <c r="N22" s="24">
        <v>7</v>
      </c>
      <c r="O22" s="24">
        <v>5</v>
      </c>
      <c r="P22" s="24">
        <v>7</v>
      </c>
    </row>
    <row r="23" spans="1:16" s="7" customFormat="1">
      <c r="A23" s="136" t="s">
        <v>122</v>
      </c>
      <c r="B23" s="136"/>
      <c r="C23" s="136"/>
      <c r="D23" s="43">
        <f t="shared" si="0"/>
        <v>10322.9679375</v>
      </c>
      <c r="E23" s="43">
        <v>312.82231250000001</v>
      </c>
      <c r="F23" s="43">
        <v>413.78424999999993</v>
      </c>
      <c r="G23" s="43">
        <v>310.33818749999995</v>
      </c>
      <c r="H23" s="43">
        <v>517.23031249999997</v>
      </c>
      <c r="I23" s="43">
        <v>931.01456249999967</v>
      </c>
      <c r="J23" s="43">
        <v>1548.2448750000001</v>
      </c>
      <c r="K23" s="43">
        <v>1551.6909375</v>
      </c>
      <c r="L23" s="43">
        <v>1944.7988124999999</v>
      </c>
      <c r="M23" s="43">
        <v>827.56849999999986</v>
      </c>
      <c r="N23" s="43">
        <v>724.12243749999993</v>
      </c>
      <c r="O23" s="43">
        <v>517.23031249999997</v>
      </c>
      <c r="P23" s="43">
        <v>724.12243749999993</v>
      </c>
    </row>
    <row r="24" spans="1:16" s="7" customFormat="1">
      <c r="A24" s="126" t="s">
        <v>20</v>
      </c>
      <c r="B24" s="126"/>
      <c r="C24" s="126"/>
      <c r="D24" s="24">
        <f>SUM(E24:P24)</f>
        <v>3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1</v>
      </c>
      <c r="K24" s="24">
        <v>1</v>
      </c>
      <c r="L24" s="24">
        <v>1</v>
      </c>
      <c r="M24" s="24">
        <v>0</v>
      </c>
      <c r="N24" s="24">
        <v>0</v>
      </c>
      <c r="O24" s="24">
        <v>0</v>
      </c>
      <c r="P24" s="24">
        <v>0</v>
      </c>
    </row>
    <row r="25" spans="1:16">
      <c r="A25" s="170" t="s">
        <v>18</v>
      </c>
      <c r="B25" s="170"/>
      <c r="C25" s="30">
        <v>0.21</v>
      </c>
      <c r="D25" s="43">
        <f t="shared" si="0"/>
        <v>2167.8232668750002</v>
      </c>
      <c r="E25" s="44">
        <f>0.21*E23</f>
        <v>65.692685624999996</v>
      </c>
      <c r="F25" s="44">
        <f t="shared" ref="F25:P25" si="3">0.21*F23</f>
        <v>86.894692499999977</v>
      </c>
      <c r="G25" s="44">
        <f t="shared" si="3"/>
        <v>65.171019374999986</v>
      </c>
      <c r="H25" s="44">
        <f t="shared" si="3"/>
        <v>108.618365625</v>
      </c>
      <c r="I25" s="44">
        <f t="shared" si="3"/>
        <v>195.51305812499993</v>
      </c>
      <c r="J25" s="44">
        <f t="shared" si="3"/>
        <v>325.13142375000001</v>
      </c>
      <c r="K25" s="44">
        <f t="shared" si="3"/>
        <v>325.85509687500002</v>
      </c>
      <c r="L25" s="44">
        <f t="shared" si="3"/>
        <v>408.40775062499995</v>
      </c>
      <c r="M25" s="44">
        <f t="shared" si="3"/>
        <v>173.78938499999995</v>
      </c>
      <c r="N25" s="44">
        <f t="shared" si="3"/>
        <v>152.06571187499998</v>
      </c>
      <c r="O25" s="44">
        <f t="shared" si="3"/>
        <v>108.618365625</v>
      </c>
      <c r="P25" s="44">
        <f t="shared" si="3"/>
        <v>152.06571187499998</v>
      </c>
    </row>
    <row r="26" spans="1:16" s="7" customFormat="1" ht="15.75">
      <c r="A26" s="165" t="s">
        <v>125</v>
      </c>
      <c r="B26" s="165"/>
      <c r="C26" s="165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4"/>
    </row>
    <row r="27" spans="1:16" s="7" customFormat="1">
      <c r="A27" s="136" t="s">
        <v>121</v>
      </c>
      <c r="B27" s="136"/>
      <c r="C27" s="136"/>
      <c r="D27" s="24">
        <f t="shared" si="0"/>
        <v>201</v>
      </c>
      <c r="E27" s="24">
        <v>8</v>
      </c>
      <c r="F27" s="24">
        <v>8</v>
      </c>
      <c r="G27" s="24">
        <v>10</v>
      </c>
      <c r="H27" s="24">
        <v>12</v>
      </c>
      <c r="I27" s="24">
        <v>18</v>
      </c>
      <c r="J27" s="24">
        <v>21</v>
      </c>
      <c r="K27" s="24">
        <v>25</v>
      </c>
      <c r="L27" s="24">
        <v>27</v>
      </c>
      <c r="M27" s="24">
        <v>25</v>
      </c>
      <c r="N27" s="24">
        <v>17</v>
      </c>
      <c r="O27" s="24">
        <v>10</v>
      </c>
      <c r="P27" s="24">
        <v>20</v>
      </c>
    </row>
    <row r="28" spans="1:16" s="7" customFormat="1">
      <c r="A28" s="136" t="s">
        <v>122</v>
      </c>
      <c r="B28" s="136"/>
      <c r="C28" s="136"/>
      <c r="D28" s="43">
        <f t="shared" si="0"/>
        <v>20503.231729499999</v>
      </c>
      <c r="E28" s="43">
        <v>722.1893419999999</v>
      </c>
      <c r="F28" s="43">
        <v>719.62869999999987</v>
      </c>
      <c r="G28" s="43">
        <v>899.53587499999992</v>
      </c>
      <c r="H28" s="43">
        <v>1079.4430499999999</v>
      </c>
      <c r="I28" s="43">
        <v>1819.164575</v>
      </c>
      <c r="J28" s="43">
        <v>2109.0253375000002</v>
      </c>
      <c r="K28" s="43">
        <v>2948.8396874999999</v>
      </c>
      <c r="L28" s="43">
        <v>3428.7468625000001</v>
      </c>
      <c r="M28" s="43">
        <v>2548.8396874999999</v>
      </c>
      <c r="N28" s="43">
        <v>1529.2109874999999</v>
      </c>
      <c r="O28" s="43">
        <v>899.53587499999992</v>
      </c>
      <c r="P28" s="43">
        <v>1799.0717499999998</v>
      </c>
    </row>
    <row r="29" spans="1:16" s="7" customFormat="1">
      <c r="A29" s="126" t="s">
        <v>20</v>
      </c>
      <c r="B29" s="126"/>
      <c r="C29" s="126"/>
      <c r="D29" s="24">
        <f>SUM(E29:P29)</f>
        <v>15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3</v>
      </c>
      <c r="K29" s="24">
        <v>3</v>
      </c>
      <c r="L29" s="24">
        <v>3</v>
      </c>
      <c r="M29" s="24">
        <v>3</v>
      </c>
      <c r="N29" s="24">
        <v>1</v>
      </c>
      <c r="O29" s="24">
        <v>0</v>
      </c>
      <c r="P29" s="24">
        <v>1</v>
      </c>
    </row>
    <row r="30" spans="1:16">
      <c r="A30" s="171" t="s">
        <v>18</v>
      </c>
      <c r="B30" s="171"/>
      <c r="C30" s="30">
        <v>0.21</v>
      </c>
      <c r="D30" s="43">
        <f t="shared" si="0"/>
        <v>4305.6786631949999</v>
      </c>
      <c r="E30" s="44">
        <f>0.21*E28</f>
        <v>151.65976181999997</v>
      </c>
      <c r="F30" s="44">
        <f t="shared" ref="F30:P30" si="4">0.21*F28</f>
        <v>151.12202699999997</v>
      </c>
      <c r="G30" s="44">
        <f t="shared" si="4"/>
        <v>188.90253374999998</v>
      </c>
      <c r="H30" s="44">
        <f t="shared" si="4"/>
        <v>226.68304049999998</v>
      </c>
      <c r="I30" s="44">
        <f t="shared" si="4"/>
        <v>382.02456074999998</v>
      </c>
      <c r="J30" s="44">
        <f t="shared" si="4"/>
        <v>442.89532087500004</v>
      </c>
      <c r="K30" s="44">
        <f t="shared" si="4"/>
        <v>619.25633437499994</v>
      </c>
      <c r="L30" s="44">
        <f t="shared" si="4"/>
        <v>720.03684112500002</v>
      </c>
      <c r="M30" s="44">
        <f t="shared" si="4"/>
        <v>535.25633437499994</v>
      </c>
      <c r="N30" s="44">
        <f t="shared" si="4"/>
        <v>321.13430737499993</v>
      </c>
      <c r="O30" s="44">
        <f t="shared" si="4"/>
        <v>188.90253374999998</v>
      </c>
      <c r="P30" s="44">
        <f t="shared" si="4"/>
        <v>377.80506749999995</v>
      </c>
    </row>
    <row r="31" spans="1:16">
      <c r="A31" s="128" t="s">
        <v>126</v>
      </c>
      <c r="B31" s="128"/>
      <c r="C31" s="128"/>
      <c r="D31" s="20" t="s">
        <v>1</v>
      </c>
      <c r="E31" s="20" t="s">
        <v>2</v>
      </c>
      <c r="F31" s="20" t="s">
        <v>3</v>
      </c>
      <c r="G31" s="20" t="s">
        <v>5</v>
      </c>
      <c r="H31" s="20" t="s">
        <v>6</v>
      </c>
      <c r="I31" s="20" t="s">
        <v>7</v>
      </c>
      <c r="J31" s="20" t="s">
        <v>8</v>
      </c>
      <c r="K31" s="20" t="s">
        <v>9</v>
      </c>
      <c r="L31" s="20" t="s">
        <v>4</v>
      </c>
      <c r="M31" s="20" t="s">
        <v>10</v>
      </c>
      <c r="N31" s="20" t="s">
        <v>11</v>
      </c>
      <c r="O31" s="20" t="s">
        <v>12</v>
      </c>
      <c r="P31" s="20" t="s">
        <v>13</v>
      </c>
    </row>
    <row r="32" spans="1:16" s="7" customFormat="1">
      <c r="A32" s="175" t="s">
        <v>19</v>
      </c>
      <c r="B32" s="175"/>
      <c r="C32" s="175"/>
      <c r="D32" s="24">
        <f t="shared" ref="D32:D35" si="5">SUM(E32:P32)</f>
        <v>761</v>
      </c>
      <c r="E32" s="24">
        <f t="shared" ref="E32:P32" si="6">SUM(E12+E17+E22+E27)</f>
        <v>27</v>
      </c>
      <c r="F32" s="24">
        <f t="shared" si="6"/>
        <v>31</v>
      </c>
      <c r="G32" s="24">
        <f t="shared" si="6"/>
        <v>34</v>
      </c>
      <c r="H32" s="24">
        <f t="shared" si="6"/>
        <v>42</v>
      </c>
      <c r="I32" s="24">
        <f t="shared" si="6"/>
        <v>70</v>
      </c>
      <c r="J32" s="24">
        <f t="shared" si="6"/>
        <v>89</v>
      </c>
      <c r="K32" s="24">
        <f t="shared" si="6"/>
        <v>106</v>
      </c>
      <c r="L32" s="24">
        <f t="shared" si="6"/>
        <v>106</v>
      </c>
      <c r="M32" s="24">
        <f t="shared" si="6"/>
        <v>87</v>
      </c>
      <c r="N32" s="24">
        <f t="shared" si="6"/>
        <v>53</v>
      </c>
      <c r="O32" s="24">
        <f t="shared" si="6"/>
        <v>34</v>
      </c>
      <c r="P32" s="24">
        <f t="shared" si="6"/>
        <v>82</v>
      </c>
    </row>
    <row r="33" spans="1:16" s="7" customFormat="1">
      <c r="A33" s="126" t="s">
        <v>127</v>
      </c>
      <c r="B33" s="126"/>
      <c r="C33" s="126"/>
      <c r="D33" s="43">
        <f t="shared" si="5"/>
        <v>70301.793191999997</v>
      </c>
      <c r="E33" s="43">
        <f>SUM(E13+E18+E23+E28)</f>
        <v>2266.5225519999999</v>
      </c>
      <c r="F33" s="43">
        <f t="shared" ref="F33:P33" si="7">SUM(F13+F18+F23+F28)</f>
        <v>2601.4286549999997</v>
      </c>
      <c r="G33" s="43">
        <f t="shared" si="7"/>
        <v>3817.8446475000001</v>
      </c>
      <c r="H33" s="43">
        <f t="shared" si="7"/>
        <v>4119.1647937500002</v>
      </c>
      <c r="I33" s="43">
        <f t="shared" si="7"/>
        <v>6047.634776249999</v>
      </c>
      <c r="J33" s="43">
        <f t="shared" si="7"/>
        <v>7793.6998637500001</v>
      </c>
      <c r="K33" s="43">
        <f t="shared" si="7"/>
        <v>10045.911728749999</v>
      </c>
      <c r="L33" s="43">
        <f t="shared" si="7"/>
        <v>10495.852721250001</v>
      </c>
      <c r="M33" s="43">
        <f t="shared" si="7"/>
        <v>7478.2267524999988</v>
      </c>
      <c r="N33" s="43">
        <f t="shared" si="7"/>
        <v>4478.8086737499998</v>
      </c>
      <c r="O33" s="43">
        <f t="shared" si="7"/>
        <v>2884.7818924999997</v>
      </c>
      <c r="P33" s="43">
        <f t="shared" si="7"/>
        <v>8271.9161349999995</v>
      </c>
    </row>
    <row r="34" spans="1:16" s="7" customFormat="1">
      <c r="A34" s="126" t="s">
        <v>20</v>
      </c>
      <c r="B34" s="126"/>
      <c r="C34" s="126"/>
      <c r="D34" s="24">
        <f t="shared" si="5"/>
        <v>61</v>
      </c>
      <c r="E34" s="24">
        <f>SUM(E14+E19+E24+E29)</f>
        <v>0</v>
      </c>
      <c r="F34" s="24">
        <f t="shared" ref="F34:P34" si="8">SUM(F14+F19+F24+F29)</f>
        <v>1</v>
      </c>
      <c r="G34" s="24">
        <f t="shared" si="8"/>
        <v>1</v>
      </c>
      <c r="H34" s="24">
        <f t="shared" si="8"/>
        <v>1</v>
      </c>
      <c r="I34" s="24">
        <f t="shared" si="8"/>
        <v>5</v>
      </c>
      <c r="J34" s="24">
        <f t="shared" si="8"/>
        <v>10</v>
      </c>
      <c r="K34" s="24">
        <f t="shared" si="8"/>
        <v>12</v>
      </c>
      <c r="L34" s="24">
        <f t="shared" si="8"/>
        <v>14</v>
      </c>
      <c r="M34" s="24">
        <f t="shared" si="8"/>
        <v>6</v>
      </c>
      <c r="N34" s="24">
        <f t="shared" si="8"/>
        <v>3</v>
      </c>
      <c r="O34" s="24">
        <f t="shared" si="8"/>
        <v>1</v>
      </c>
      <c r="P34" s="24">
        <f t="shared" si="8"/>
        <v>7</v>
      </c>
    </row>
    <row r="35" spans="1:16" s="7" customFormat="1">
      <c r="A35" s="126" t="s">
        <v>21</v>
      </c>
      <c r="B35" s="126"/>
      <c r="C35" s="126"/>
      <c r="D35" s="43">
        <f t="shared" si="5"/>
        <v>4625.1600000000008</v>
      </c>
      <c r="E35" s="43">
        <v>0</v>
      </c>
      <c r="F35" s="43">
        <v>92.42</v>
      </c>
      <c r="G35" s="43">
        <v>120.5</v>
      </c>
      <c r="H35" s="43">
        <v>100.99</v>
      </c>
      <c r="I35" s="43">
        <v>468.3</v>
      </c>
      <c r="J35" s="43">
        <v>749.9</v>
      </c>
      <c r="K35" s="43">
        <v>813.27</v>
      </c>
      <c r="L35" s="43">
        <v>798.36</v>
      </c>
      <c r="M35" s="43">
        <v>474.19</v>
      </c>
      <c r="N35" s="43">
        <v>263.97000000000003</v>
      </c>
      <c r="O35" s="43">
        <v>83.92</v>
      </c>
      <c r="P35" s="43">
        <v>659.34</v>
      </c>
    </row>
    <row r="36" spans="1:16">
      <c r="A36" s="126" t="s">
        <v>128</v>
      </c>
      <c r="B36" s="126"/>
      <c r="C36" s="126"/>
      <c r="D36" s="44">
        <f>D33-D35</f>
        <v>65676.633191999994</v>
      </c>
      <c r="E36" s="44">
        <f t="shared" ref="E36:P36" si="9">E33-E35</f>
        <v>2266.5225519999999</v>
      </c>
      <c r="F36" s="44">
        <f t="shared" si="9"/>
        <v>2509.0086549999996</v>
      </c>
      <c r="G36" s="44">
        <f t="shared" si="9"/>
        <v>3697.3446475000001</v>
      </c>
      <c r="H36" s="44">
        <f t="shared" si="9"/>
        <v>4018.1747937500004</v>
      </c>
      <c r="I36" s="44">
        <f t="shared" si="9"/>
        <v>5579.3347762499989</v>
      </c>
      <c r="J36" s="44">
        <f t="shared" si="9"/>
        <v>7043.7998637500004</v>
      </c>
      <c r="K36" s="44">
        <f t="shared" si="9"/>
        <v>9232.6417287499989</v>
      </c>
      <c r="L36" s="44">
        <f t="shared" si="9"/>
        <v>9697.4927212500006</v>
      </c>
      <c r="M36" s="44">
        <f t="shared" si="9"/>
        <v>7004.0367524999992</v>
      </c>
      <c r="N36" s="44">
        <f t="shared" si="9"/>
        <v>4214.8386737499995</v>
      </c>
      <c r="O36" s="44">
        <f t="shared" si="9"/>
        <v>2800.8618924999996</v>
      </c>
      <c r="P36" s="44">
        <f t="shared" si="9"/>
        <v>7612.5761349999993</v>
      </c>
    </row>
    <row r="37" spans="1:16">
      <c r="D37" s="47">
        <f>(D34+D35+D36+D33+D32)</f>
        <v>141425.58638399999</v>
      </c>
      <c r="E37" s="47">
        <f t="shared" ref="E37:P37" si="10">(E34+E35+E36+E33+E32)</f>
        <v>4560.0451039999998</v>
      </c>
      <c r="F37" s="47">
        <f t="shared" si="10"/>
        <v>5234.8573099999994</v>
      </c>
      <c r="G37" s="47">
        <f t="shared" si="10"/>
        <v>7670.6892950000001</v>
      </c>
      <c r="H37" s="47">
        <f t="shared" si="10"/>
        <v>8281.3295875000003</v>
      </c>
      <c r="I37" s="47">
        <f t="shared" si="10"/>
        <v>12170.269552499998</v>
      </c>
      <c r="J37" s="47">
        <f t="shared" si="10"/>
        <v>15686.3997275</v>
      </c>
      <c r="K37" s="47">
        <f t="shared" si="10"/>
        <v>20209.823457499999</v>
      </c>
      <c r="L37" s="47">
        <f t="shared" si="10"/>
        <v>21111.705442500002</v>
      </c>
      <c r="M37" s="47">
        <f t="shared" si="10"/>
        <v>15049.453504999998</v>
      </c>
      <c r="N37" s="47">
        <f t="shared" si="10"/>
        <v>9013.6173474999996</v>
      </c>
      <c r="O37" s="47">
        <f t="shared" si="10"/>
        <v>5804.5637849999994</v>
      </c>
      <c r="P37" s="47">
        <f t="shared" si="10"/>
        <v>16632.832269999999</v>
      </c>
    </row>
    <row r="38" spans="1:16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>
      <c r="A39" s="170" t="s">
        <v>129</v>
      </c>
      <c r="B39" s="170"/>
      <c r="C39" s="170"/>
      <c r="D39" s="170"/>
      <c r="E39" s="170"/>
      <c r="F39" s="170"/>
      <c r="G39" s="170"/>
      <c r="H39" s="170"/>
      <c r="I39" s="25"/>
      <c r="J39" s="25"/>
      <c r="K39" s="25"/>
      <c r="L39" s="25"/>
      <c r="M39" s="25"/>
      <c r="N39" s="25"/>
      <c r="O39" s="25"/>
      <c r="P39" s="25"/>
    </row>
    <row r="40" spans="1:16">
      <c r="A40" s="128" t="s">
        <v>112</v>
      </c>
      <c r="B40" s="128"/>
      <c r="C40" s="128"/>
      <c r="D40" s="20" t="s">
        <v>1</v>
      </c>
      <c r="E40" s="20" t="s">
        <v>2</v>
      </c>
      <c r="F40" s="20" t="s">
        <v>3</v>
      </c>
      <c r="G40" s="20" t="s">
        <v>5</v>
      </c>
      <c r="H40" s="20" t="s">
        <v>6</v>
      </c>
      <c r="I40" s="20" t="s">
        <v>7</v>
      </c>
      <c r="J40" s="20" t="s">
        <v>8</v>
      </c>
      <c r="K40" s="20" t="s">
        <v>9</v>
      </c>
      <c r="L40" s="20" t="s">
        <v>4</v>
      </c>
      <c r="M40" s="20" t="s">
        <v>10</v>
      </c>
      <c r="N40" s="20" t="s">
        <v>11</v>
      </c>
      <c r="O40" s="20" t="s">
        <v>12</v>
      </c>
      <c r="P40" s="20" t="s">
        <v>13</v>
      </c>
    </row>
    <row r="41" spans="1:16" s="7" customFormat="1">
      <c r="A41" s="175" t="s">
        <v>38</v>
      </c>
      <c r="B41" s="175"/>
      <c r="C41" s="175"/>
      <c r="D41" s="43">
        <f>SUM(E41:P41)</f>
        <v>450</v>
      </c>
      <c r="E41" s="43">
        <v>0</v>
      </c>
      <c r="F41" s="43">
        <v>0</v>
      </c>
      <c r="G41" s="43">
        <v>0</v>
      </c>
      <c r="H41" s="43">
        <v>50</v>
      </c>
      <c r="I41" s="43">
        <v>50</v>
      </c>
      <c r="J41" s="43">
        <v>50</v>
      </c>
      <c r="K41" s="43">
        <v>50</v>
      </c>
      <c r="L41" s="43">
        <v>50</v>
      </c>
      <c r="M41" s="43">
        <v>50</v>
      </c>
      <c r="N41" s="43">
        <v>50</v>
      </c>
      <c r="O41" s="43">
        <v>50</v>
      </c>
      <c r="P41" s="43">
        <v>50</v>
      </c>
    </row>
    <row r="42" spans="1:16" s="7" customFormat="1">
      <c r="A42" s="126" t="s">
        <v>37</v>
      </c>
      <c r="B42" s="126"/>
      <c r="C42" s="126"/>
      <c r="D42" s="43">
        <f>SUM(E42:P42)</f>
        <v>500</v>
      </c>
      <c r="E42" s="43">
        <v>0</v>
      </c>
      <c r="F42" s="43">
        <v>0</v>
      </c>
      <c r="G42" s="43">
        <v>50</v>
      </c>
      <c r="H42" s="43">
        <v>50</v>
      </c>
      <c r="I42" s="43">
        <v>50</v>
      </c>
      <c r="J42" s="43">
        <v>50</v>
      </c>
      <c r="K42" s="43">
        <v>50</v>
      </c>
      <c r="L42" s="43">
        <v>50</v>
      </c>
      <c r="M42" s="43">
        <v>50</v>
      </c>
      <c r="N42" s="43">
        <v>50</v>
      </c>
      <c r="O42" s="43">
        <v>50</v>
      </c>
      <c r="P42" s="43">
        <v>50</v>
      </c>
    </row>
    <row r="43" spans="1:16" s="7" customFormat="1">
      <c r="A43" s="126" t="s">
        <v>36</v>
      </c>
      <c r="B43" s="126"/>
      <c r="C43" s="126"/>
      <c r="D43" s="43">
        <f>SUM(E43:P43)</f>
        <v>600</v>
      </c>
      <c r="E43" s="43">
        <v>50</v>
      </c>
      <c r="F43" s="43">
        <v>50</v>
      </c>
      <c r="G43" s="43">
        <v>50</v>
      </c>
      <c r="H43" s="43">
        <v>50</v>
      </c>
      <c r="I43" s="43">
        <v>50</v>
      </c>
      <c r="J43" s="43">
        <v>50</v>
      </c>
      <c r="K43" s="43">
        <v>50</v>
      </c>
      <c r="L43" s="43">
        <v>50</v>
      </c>
      <c r="M43" s="43">
        <v>50</v>
      </c>
      <c r="N43" s="43">
        <v>50</v>
      </c>
      <c r="O43" s="43">
        <v>50</v>
      </c>
      <c r="P43" s="43">
        <v>50</v>
      </c>
    </row>
    <row r="44" spans="1:16">
      <c r="A44" s="25"/>
      <c r="B44" s="25"/>
      <c r="C44" s="25"/>
      <c r="D44" s="47">
        <f>(D41+D42+D43)</f>
        <v>1550</v>
      </c>
      <c r="E44" s="47">
        <f t="shared" ref="E44:P44" si="11">(E41+E42+E43)</f>
        <v>50</v>
      </c>
      <c r="F44" s="47">
        <f t="shared" si="11"/>
        <v>50</v>
      </c>
      <c r="G44" s="47">
        <f t="shared" si="11"/>
        <v>100</v>
      </c>
      <c r="H44" s="47">
        <f t="shared" si="11"/>
        <v>150</v>
      </c>
      <c r="I44" s="47">
        <f t="shared" si="11"/>
        <v>150</v>
      </c>
      <c r="J44" s="47">
        <f t="shared" si="11"/>
        <v>150</v>
      </c>
      <c r="K44" s="47">
        <f t="shared" si="11"/>
        <v>150</v>
      </c>
      <c r="L44" s="47">
        <f t="shared" si="11"/>
        <v>150</v>
      </c>
      <c r="M44" s="47">
        <f t="shared" si="11"/>
        <v>150</v>
      </c>
      <c r="N44" s="47">
        <f t="shared" si="11"/>
        <v>150</v>
      </c>
      <c r="O44" s="47">
        <f t="shared" si="11"/>
        <v>150</v>
      </c>
      <c r="P44" s="47">
        <f t="shared" si="11"/>
        <v>150</v>
      </c>
    </row>
    <row r="45" spans="1:16">
      <c r="A45" s="25"/>
      <c r="B45" s="25"/>
      <c r="C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23.25">
      <c r="A47" s="164" t="s">
        <v>17</v>
      </c>
      <c r="B47" s="164"/>
      <c r="C47" s="164"/>
      <c r="D47" s="164"/>
      <c r="E47" s="164"/>
      <c r="F47" s="164"/>
      <c r="G47" s="164"/>
      <c r="H47" s="164"/>
      <c r="I47" s="25"/>
      <c r="J47" s="25"/>
      <c r="K47" s="25"/>
      <c r="L47" s="25"/>
      <c r="M47" s="25"/>
      <c r="N47" s="25"/>
      <c r="O47" s="25"/>
      <c r="P47" s="25"/>
    </row>
    <row r="48" spans="1:16">
      <c r="A48" s="170" t="s">
        <v>130</v>
      </c>
      <c r="B48" s="170"/>
      <c r="C48" s="170"/>
      <c r="D48" s="170"/>
      <c r="E48" s="170"/>
      <c r="F48" s="170"/>
      <c r="G48" s="170"/>
      <c r="H48" s="170"/>
      <c r="I48" s="25"/>
      <c r="J48" s="25"/>
      <c r="K48" s="25"/>
      <c r="L48" s="25"/>
      <c r="M48" s="25"/>
      <c r="N48" s="25"/>
      <c r="O48" s="25"/>
      <c r="P48" s="25"/>
    </row>
    <row r="49" spans="1:20">
      <c r="A49" s="128" t="s">
        <v>22</v>
      </c>
      <c r="B49" s="128"/>
      <c r="C49" s="128"/>
      <c r="D49" s="20" t="s">
        <v>1</v>
      </c>
      <c r="E49" s="20" t="s">
        <v>2</v>
      </c>
      <c r="F49" s="20" t="s">
        <v>3</v>
      </c>
      <c r="G49" s="20" t="s">
        <v>5</v>
      </c>
      <c r="H49" s="20" t="s">
        <v>6</v>
      </c>
      <c r="I49" s="20" t="s">
        <v>7</v>
      </c>
      <c r="J49" s="20" t="s">
        <v>8</v>
      </c>
      <c r="K49" s="20" t="s">
        <v>9</v>
      </c>
      <c r="L49" s="20" t="s">
        <v>4</v>
      </c>
      <c r="M49" s="20" t="s">
        <v>10</v>
      </c>
      <c r="N49" s="20" t="s">
        <v>11</v>
      </c>
      <c r="O49" s="20" t="s">
        <v>12</v>
      </c>
      <c r="P49" s="20" t="s">
        <v>13</v>
      </c>
    </row>
    <row r="50" spans="1:20" s="7" customFormat="1" ht="15.75">
      <c r="A50" s="168" t="s">
        <v>32</v>
      </c>
      <c r="B50" s="168"/>
      <c r="C50" s="168"/>
      <c r="D50" s="43">
        <f>(0.715*D13)*0.85</f>
        <v>14642.555321858747</v>
      </c>
      <c r="E50" s="43">
        <f>(0.715*E13)*0.75</f>
        <v>436.74328778437496</v>
      </c>
      <c r="F50" s="43">
        <f t="shared" ref="F50:P50" si="12">(0.715*F13)*0.75</f>
        <v>524.54560640624993</v>
      </c>
      <c r="G50" s="43">
        <f t="shared" si="12"/>
        <v>1060.7956064062498</v>
      </c>
      <c r="H50" s="43">
        <f t="shared" si="12"/>
        <v>977.43200800781233</v>
      </c>
      <c r="I50" s="43">
        <f t="shared" si="12"/>
        <v>1092.8033466796874</v>
      </c>
      <c r="J50" s="43">
        <f t="shared" si="12"/>
        <v>1355.0761498828124</v>
      </c>
      <c r="K50" s="43">
        <f t="shared" si="12"/>
        <v>1885.4739530859374</v>
      </c>
      <c r="L50" s="43">
        <f t="shared" si="12"/>
        <v>1583.5496853515626</v>
      </c>
      <c r="M50" s="43">
        <f t="shared" si="12"/>
        <v>1223.9397482812496</v>
      </c>
      <c r="N50" s="43">
        <f t="shared" si="12"/>
        <v>743.10627574218734</v>
      </c>
      <c r="O50" s="43">
        <f t="shared" si="12"/>
        <v>524.54560640624993</v>
      </c>
      <c r="P50" s="43">
        <f t="shared" si="12"/>
        <v>1511.8904805468749</v>
      </c>
      <c r="Q50" s="37"/>
      <c r="R50" s="37"/>
      <c r="S50" s="37"/>
      <c r="T50"/>
    </row>
    <row r="51" spans="1:20" s="7" customFormat="1" ht="15.75">
      <c r="A51" s="165" t="s">
        <v>33</v>
      </c>
      <c r="B51" s="165"/>
      <c r="C51" s="165"/>
      <c r="D51" s="43">
        <f>(0.8*D18)*0.85</f>
        <v>10460.1249152</v>
      </c>
      <c r="E51" s="43">
        <f>(0.8*E18)*0.75</f>
        <v>250.24272000000002</v>
      </c>
      <c r="F51" s="43">
        <f t="shared" ref="F51:P51" si="13">(0.8*F18)*0.75</f>
        <v>293.90524800000003</v>
      </c>
      <c r="G51" s="43">
        <f t="shared" si="13"/>
        <v>377.87817600000005</v>
      </c>
      <c r="H51" s="43">
        <f t="shared" si="13"/>
        <v>419.86464000000001</v>
      </c>
      <c r="I51" s="43">
        <f t="shared" si="13"/>
        <v>755.75635200000011</v>
      </c>
      <c r="J51" s="43">
        <f t="shared" si="13"/>
        <v>965.68867199999988</v>
      </c>
      <c r="K51" s="43">
        <f t="shared" si="13"/>
        <v>1217.607456</v>
      </c>
      <c r="L51" s="43">
        <f t="shared" si="13"/>
        <v>1301.5803840000001</v>
      </c>
      <c r="M51" s="43">
        <f t="shared" si="13"/>
        <v>1091.648064</v>
      </c>
      <c r="N51" s="43">
        <f t="shared" si="13"/>
        <v>503.83756800000003</v>
      </c>
      <c r="O51" s="43">
        <f t="shared" si="13"/>
        <v>293.90524800000003</v>
      </c>
      <c r="P51" s="43">
        <f t="shared" si="13"/>
        <v>1757.6074560000002</v>
      </c>
      <c r="Q51" s="37"/>
      <c r="R51" s="37"/>
      <c r="S51" s="37"/>
      <c r="T51"/>
    </row>
    <row r="52" spans="1:20" s="7" customFormat="1" ht="15.75">
      <c r="A52" s="165" t="s">
        <v>34</v>
      </c>
      <c r="B52" s="165"/>
      <c r="C52" s="165"/>
      <c r="D52" s="43">
        <f>(0.835*D23)*0.85</f>
        <v>7326.7264936406245</v>
      </c>
      <c r="E52" s="43">
        <f>(0.835*E23)*0.75</f>
        <v>195.904973203125</v>
      </c>
      <c r="F52" s="43">
        <f t="shared" ref="F52:P52" si="14">(0.835*F23)*0.75</f>
        <v>259.13238656249996</v>
      </c>
      <c r="G52" s="43">
        <f t="shared" si="14"/>
        <v>194.34928992187497</v>
      </c>
      <c r="H52" s="43">
        <f t="shared" si="14"/>
        <v>323.91548320312495</v>
      </c>
      <c r="I52" s="43">
        <f t="shared" si="14"/>
        <v>583.04786976562468</v>
      </c>
      <c r="J52" s="43">
        <f t="shared" si="14"/>
        <v>969.58835296875009</v>
      </c>
      <c r="K52" s="43">
        <f t="shared" si="14"/>
        <v>971.74644960937508</v>
      </c>
      <c r="L52" s="43">
        <f t="shared" si="14"/>
        <v>1217.9302563281249</v>
      </c>
      <c r="M52" s="43">
        <f t="shared" si="14"/>
        <v>518.26477312499992</v>
      </c>
      <c r="N52" s="43">
        <f t="shared" si="14"/>
        <v>453.48167648437493</v>
      </c>
      <c r="O52" s="43">
        <f t="shared" si="14"/>
        <v>323.91548320312495</v>
      </c>
      <c r="P52" s="43">
        <f t="shared" si="14"/>
        <v>453.48167648437493</v>
      </c>
      <c r="Q52" s="37"/>
      <c r="R52" s="37"/>
      <c r="S52" s="37"/>
      <c r="T52"/>
    </row>
    <row r="53" spans="1:20" s="7" customFormat="1" ht="15.75">
      <c r="A53" s="165" t="s">
        <v>35</v>
      </c>
      <c r="B53" s="165"/>
      <c r="C53" s="165"/>
      <c r="D53" s="43">
        <f>(0.742*D28)*0.85</f>
        <v>12931.388251795648</v>
      </c>
      <c r="E53" s="43">
        <f>(0.742*E28)*0.75</f>
        <v>401.89836882299994</v>
      </c>
      <c r="F53" s="43">
        <f t="shared" ref="F53:P53" si="15">(0.742*F28)*0.75</f>
        <v>400.47337154999991</v>
      </c>
      <c r="G53" s="43">
        <f t="shared" si="15"/>
        <v>500.59171443749995</v>
      </c>
      <c r="H53" s="43">
        <f t="shared" si="15"/>
        <v>600.71005732499998</v>
      </c>
      <c r="I53" s="43">
        <f t="shared" si="15"/>
        <v>1012.3650859875</v>
      </c>
      <c r="J53" s="43">
        <f t="shared" si="15"/>
        <v>1173.67260031875</v>
      </c>
      <c r="K53" s="43">
        <f t="shared" si="15"/>
        <v>1641.0292860937498</v>
      </c>
      <c r="L53" s="43">
        <f t="shared" si="15"/>
        <v>1908.09762898125</v>
      </c>
      <c r="M53" s="43">
        <f t="shared" si="15"/>
        <v>1418.4292860937499</v>
      </c>
      <c r="N53" s="43">
        <f t="shared" si="15"/>
        <v>851.0059145437499</v>
      </c>
      <c r="O53" s="43">
        <f t="shared" si="15"/>
        <v>500.59171443749995</v>
      </c>
      <c r="P53" s="43">
        <f t="shared" si="15"/>
        <v>1001.1834288749999</v>
      </c>
      <c r="Q53" s="37"/>
      <c r="R53" s="37"/>
      <c r="S53" s="37"/>
      <c r="T53"/>
    </row>
    <row r="54" spans="1:20" s="7" customFormat="1" ht="15.75">
      <c r="A54" s="180" t="s">
        <v>76</v>
      </c>
      <c r="B54" s="180"/>
      <c r="C54" s="180"/>
      <c r="D54" s="43">
        <f>SUM(E54:P54)</f>
        <v>800.48461733814759</v>
      </c>
      <c r="E54" s="43">
        <f>SUM(E50:J53)*0.02</f>
        <v>302.52762734467882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f>SUM(K50:P53)*0.02</f>
        <v>497.95698999346877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37"/>
      <c r="R54" s="37"/>
      <c r="S54" s="37"/>
      <c r="T54" s="37"/>
    </row>
    <row r="55" spans="1:20">
      <c r="A55" s="25"/>
      <c r="B55" s="25"/>
      <c r="C55" s="25"/>
      <c r="D55" s="47">
        <f>SUM(D50:D54)</f>
        <v>46161.279599833164</v>
      </c>
      <c r="E55" s="47">
        <f t="shared" ref="E55:P55" si="16">SUM(E50:E54)</f>
        <v>1587.3169771551788</v>
      </c>
      <c r="F55" s="47">
        <f t="shared" si="16"/>
        <v>1478.0566125187499</v>
      </c>
      <c r="G55" s="47">
        <f t="shared" si="16"/>
        <v>2133.6147867656246</v>
      </c>
      <c r="H55" s="47">
        <f t="shared" si="16"/>
        <v>2321.9221885359375</v>
      </c>
      <c r="I55" s="47">
        <f t="shared" si="16"/>
        <v>3443.9726544328123</v>
      </c>
      <c r="J55" s="47">
        <f t="shared" si="16"/>
        <v>4464.025775170312</v>
      </c>
      <c r="K55" s="47">
        <f t="shared" si="16"/>
        <v>6213.8141347825313</v>
      </c>
      <c r="L55" s="47">
        <f t="shared" si="16"/>
        <v>6011.1579546609373</v>
      </c>
      <c r="M55" s="47">
        <f t="shared" si="16"/>
        <v>4252.2818714999994</v>
      </c>
      <c r="N55" s="47">
        <f t="shared" si="16"/>
        <v>2551.4314347703121</v>
      </c>
      <c r="O55" s="47">
        <f t="shared" si="16"/>
        <v>1642.9580520468749</v>
      </c>
      <c r="P55" s="47">
        <f t="shared" si="16"/>
        <v>4724.1630419062503</v>
      </c>
    </row>
    <row r="56" spans="1:20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20">
      <c r="A57" s="177" t="s">
        <v>131</v>
      </c>
      <c r="B57" s="178"/>
      <c r="C57" s="178"/>
      <c r="D57" s="178"/>
      <c r="E57" s="178"/>
      <c r="F57" s="178"/>
      <c r="G57" s="178"/>
      <c r="H57" s="179"/>
      <c r="I57" s="25"/>
      <c r="J57" s="25"/>
      <c r="K57" s="25"/>
      <c r="L57" s="25"/>
      <c r="M57" s="25"/>
      <c r="N57" s="25"/>
      <c r="O57" s="25"/>
      <c r="P57" s="25"/>
    </row>
    <row r="58" spans="1:20">
      <c r="A58" s="128" t="s">
        <v>23</v>
      </c>
      <c r="B58" s="128"/>
      <c r="C58" s="128"/>
      <c r="D58" s="20" t="s">
        <v>1</v>
      </c>
      <c r="E58" s="20" t="s">
        <v>2</v>
      </c>
      <c r="F58" s="20" t="s">
        <v>3</v>
      </c>
      <c r="G58" s="20" t="s">
        <v>5</v>
      </c>
      <c r="H58" s="20" t="s">
        <v>6</v>
      </c>
      <c r="I58" s="20" t="s">
        <v>7</v>
      </c>
      <c r="J58" s="20" t="s">
        <v>8</v>
      </c>
      <c r="K58" s="20" t="s">
        <v>9</v>
      </c>
      <c r="L58" s="20" t="s">
        <v>4</v>
      </c>
      <c r="M58" s="20" t="s">
        <v>10</v>
      </c>
      <c r="N58" s="20" t="s">
        <v>11</v>
      </c>
      <c r="O58" s="20" t="s">
        <v>12</v>
      </c>
      <c r="P58" s="20" t="s">
        <v>13</v>
      </c>
    </row>
    <row r="59" spans="1:20" s="7" customFormat="1">
      <c r="A59" s="181" t="s">
        <v>24</v>
      </c>
      <c r="B59" s="181"/>
      <c r="C59" s="181"/>
      <c r="D59" s="44">
        <f>SUM(E59:P59)</f>
        <v>7200</v>
      </c>
      <c r="E59" s="44">
        <v>600</v>
      </c>
      <c r="F59" s="44">
        <v>600</v>
      </c>
      <c r="G59" s="44">
        <v>600</v>
      </c>
      <c r="H59" s="44">
        <v>600</v>
      </c>
      <c r="I59" s="44">
        <v>600</v>
      </c>
      <c r="J59" s="44">
        <v>600</v>
      </c>
      <c r="K59" s="44">
        <v>600</v>
      </c>
      <c r="L59" s="44">
        <v>600</v>
      </c>
      <c r="M59" s="44">
        <v>600</v>
      </c>
      <c r="N59" s="44">
        <v>600</v>
      </c>
      <c r="O59" s="44">
        <v>600</v>
      </c>
      <c r="P59" s="44">
        <v>600</v>
      </c>
    </row>
    <row r="60" spans="1:20" s="7" customFormat="1">
      <c r="A60" s="126" t="s">
        <v>26</v>
      </c>
      <c r="B60" s="126"/>
      <c r="C60" s="12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20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20" s="7" customFormat="1">
      <c r="A62" s="176" t="s">
        <v>25</v>
      </c>
      <c r="B62" s="176"/>
      <c r="C62" s="176"/>
      <c r="D62" s="44">
        <f>SUM(E62:P62)</f>
        <v>2550</v>
      </c>
      <c r="E62" s="44">
        <v>200</v>
      </c>
      <c r="F62" s="44">
        <v>250</v>
      </c>
      <c r="G62" s="44">
        <v>200</v>
      </c>
      <c r="H62" s="44">
        <v>300</v>
      </c>
      <c r="I62" s="44">
        <v>350</v>
      </c>
      <c r="J62" s="44">
        <v>100</v>
      </c>
      <c r="K62" s="44">
        <v>200</v>
      </c>
      <c r="L62" s="44">
        <v>300</v>
      </c>
      <c r="M62" s="44">
        <v>100</v>
      </c>
      <c r="N62" s="44">
        <v>100</v>
      </c>
      <c r="O62" s="44">
        <v>150</v>
      </c>
      <c r="P62" s="44">
        <v>300</v>
      </c>
    </row>
    <row r="63" spans="1:20" s="7" customFormat="1">
      <c r="A63" s="126" t="s">
        <v>26</v>
      </c>
      <c r="B63" s="126"/>
      <c r="C63" s="126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20">
      <c r="A64" s="25"/>
      <c r="B64" s="25"/>
      <c r="C64" s="25"/>
      <c r="D64" s="47">
        <f>SUM(D59+D62)</f>
        <v>9750</v>
      </c>
      <c r="E64" s="47">
        <f t="shared" ref="E64:P64" si="17">SUM(E59+E62)</f>
        <v>800</v>
      </c>
      <c r="F64" s="47">
        <f t="shared" si="17"/>
        <v>850</v>
      </c>
      <c r="G64" s="47">
        <f t="shared" si="17"/>
        <v>800</v>
      </c>
      <c r="H64" s="47">
        <f t="shared" si="17"/>
        <v>900</v>
      </c>
      <c r="I64" s="47">
        <f t="shared" si="17"/>
        <v>950</v>
      </c>
      <c r="J64" s="47">
        <f t="shared" si="17"/>
        <v>700</v>
      </c>
      <c r="K64" s="47">
        <f t="shared" si="17"/>
        <v>800</v>
      </c>
      <c r="L64" s="47">
        <f t="shared" si="17"/>
        <v>900</v>
      </c>
      <c r="M64" s="47">
        <f t="shared" si="17"/>
        <v>700</v>
      </c>
      <c r="N64" s="47">
        <f t="shared" si="17"/>
        <v>700</v>
      </c>
      <c r="O64" s="47">
        <f t="shared" si="17"/>
        <v>750</v>
      </c>
      <c r="P64" s="47">
        <f t="shared" si="17"/>
        <v>900</v>
      </c>
    </row>
    <row r="65" spans="1:16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>
      <c r="A66" s="170" t="s">
        <v>28</v>
      </c>
      <c r="B66" s="170"/>
      <c r="C66" s="170"/>
      <c r="D66" s="170"/>
      <c r="E66" s="170"/>
      <c r="F66" s="170"/>
      <c r="G66" s="170"/>
      <c r="H66" s="170"/>
      <c r="I66" s="25"/>
      <c r="J66" s="25"/>
      <c r="K66" s="25"/>
      <c r="L66" s="25"/>
      <c r="M66" s="25"/>
      <c r="N66" s="25"/>
      <c r="O66" s="25"/>
      <c r="P66" s="25"/>
    </row>
    <row r="67" spans="1:16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>
      <c r="A68" s="128" t="s">
        <v>27</v>
      </c>
      <c r="B68" s="128"/>
      <c r="C68" s="128"/>
      <c r="D68" s="20" t="s">
        <v>1</v>
      </c>
      <c r="E68" s="20" t="s">
        <v>2</v>
      </c>
      <c r="F68" s="20" t="s">
        <v>3</v>
      </c>
      <c r="G68" s="20" t="s">
        <v>5</v>
      </c>
      <c r="H68" s="20" t="s">
        <v>6</v>
      </c>
      <c r="I68" s="20" t="s">
        <v>7</v>
      </c>
      <c r="J68" s="20" t="s">
        <v>8</v>
      </c>
      <c r="K68" s="20" t="s">
        <v>9</v>
      </c>
      <c r="L68" s="20" t="s">
        <v>4</v>
      </c>
      <c r="M68" s="20" t="s">
        <v>10</v>
      </c>
      <c r="N68" s="20" t="s">
        <v>11</v>
      </c>
      <c r="O68" s="20" t="s">
        <v>12</v>
      </c>
      <c r="P68" s="20" t="s">
        <v>13</v>
      </c>
    </row>
    <row r="69" spans="1:16">
      <c r="A69" s="175" t="s">
        <v>47</v>
      </c>
      <c r="B69" s="175"/>
      <c r="C69" s="175"/>
      <c r="D69" s="44">
        <f>SUM(E69:P69)</f>
        <v>4900</v>
      </c>
      <c r="E69" s="44">
        <v>3000</v>
      </c>
      <c r="F69" s="44">
        <v>1000</v>
      </c>
      <c r="G69" s="44">
        <v>0</v>
      </c>
      <c r="H69" s="44">
        <v>0</v>
      </c>
      <c r="I69" s="44">
        <v>0</v>
      </c>
      <c r="J69" s="44">
        <v>300</v>
      </c>
      <c r="K69" s="44">
        <v>300</v>
      </c>
      <c r="L69" s="44">
        <v>0</v>
      </c>
      <c r="M69" s="44">
        <v>0</v>
      </c>
      <c r="N69" s="44">
        <v>0</v>
      </c>
      <c r="O69" s="44">
        <v>0</v>
      </c>
      <c r="P69" s="44">
        <v>300</v>
      </c>
    </row>
    <row r="70" spans="1:16">
      <c r="A70" s="126" t="s">
        <v>48</v>
      </c>
      <c r="B70" s="126"/>
      <c r="C70" s="126"/>
      <c r="D70" s="44">
        <f>SUM(E70:P70)</f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</row>
    <row r="71" spans="1:16">
      <c r="A71" s="126" t="s">
        <v>49</v>
      </c>
      <c r="B71" s="126"/>
      <c r="C71" s="126"/>
      <c r="D71" s="44">
        <f>SUM(E71:P71)</f>
        <v>500</v>
      </c>
      <c r="E71" s="44">
        <v>200</v>
      </c>
      <c r="F71" s="44">
        <v>100</v>
      </c>
      <c r="G71" s="44">
        <v>0</v>
      </c>
      <c r="H71" s="44">
        <v>0</v>
      </c>
      <c r="I71" s="44">
        <v>0</v>
      </c>
      <c r="J71" s="44">
        <v>0</v>
      </c>
      <c r="K71" s="44">
        <v>100</v>
      </c>
      <c r="L71" s="44">
        <v>0</v>
      </c>
      <c r="M71" s="44">
        <v>0</v>
      </c>
      <c r="N71" s="44">
        <v>0</v>
      </c>
      <c r="O71" s="44">
        <v>100</v>
      </c>
      <c r="P71" s="44">
        <v>0</v>
      </c>
    </row>
    <row r="72" spans="1:16">
      <c r="A72" s="126" t="s">
        <v>50</v>
      </c>
      <c r="B72" s="126"/>
      <c r="C72" s="126"/>
      <c r="D72" s="44">
        <f>SUM(E72:P72)</f>
        <v>600</v>
      </c>
      <c r="E72" s="44">
        <v>0</v>
      </c>
      <c r="F72" s="44">
        <v>0</v>
      </c>
      <c r="G72" s="44">
        <v>0</v>
      </c>
      <c r="H72" s="44">
        <v>0</v>
      </c>
      <c r="I72" s="44">
        <v>200</v>
      </c>
      <c r="J72" s="44">
        <v>200</v>
      </c>
      <c r="K72" s="44">
        <v>200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</row>
    <row r="73" spans="1:16">
      <c r="A73" s="126" t="s">
        <v>51</v>
      </c>
      <c r="B73" s="126"/>
      <c r="C73" s="126"/>
      <c r="D73" s="44">
        <f>SUM(E73:P73)</f>
        <v>500</v>
      </c>
      <c r="E73" s="44">
        <v>500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</row>
    <row r="74" spans="1:16">
      <c r="A74" s="25"/>
      <c r="B74" s="25"/>
      <c r="C74" s="25"/>
      <c r="D74" s="47">
        <f>SUM(D69+D70+D71+D72+D73)</f>
        <v>6500</v>
      </c>
      <c r="E74" s="47">
        <f t="shared" ref="E74:P74" si="18">SUM(E69+E70+E71+E72+E73)</f>
        <v>3700</v>
      </c>
      <c r="F74" s="47">
        <f t="shared" si="18"/>
        <v>1100</v>
      </c>
      <c r="G74" s="47">
        <f t="shared" si="18"/>
        <v>0</v>
      </c>
      <c r="H74" s="47">
        <f t="shared" si="18"/>
        <v>0</v>
      </c>
      <c r="I74" s="47">
        <f t="shared" si="18"/>
        <v>200</v>
      </c>
      <c r="J74" s="47">
        <f t="shared" si="18"/>
        <v>500</v>
      </c>
      <c r="K74" s="47">
        <f t="shared" si="18"/>
        <v>600</v>
      </c>
      <c r="L74" s="47">
        <f t="shared" si="18"/>
        <v>0</v>
      </c>
      <c r="M74" s="47">
        <f t="shared" si="18"/>
        <v>0</v>
      </c>
      <c r="N74" s="47">
        <f t="shared" si="18"/>
        <v>0</v>
      </c>
      <c r="O74" s="47">
        <f t="shared" si="18"/>
        <v>100</v>
      </c>
      <c r="P74" s="47">
        <f t="shared" si="18"/>
        <v>300</v>
      </c>
    </row>
    <row r="75" spans="1:16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>
      <c r="A76" s="170" t="s">
        <v>29</v>
      </c>
      <c r="B76" s="170"/>
      <c r="C76" s="170"/>
      <c r="D76" s="170"/>
      <c r="E76" s="170"/>
      <c r="F76" s="170"/>
      <c r="G76" s="170"/>
      <c r="H76" s="170"/>
      <c r="I76" s="25"/>
      <c r="J76" s="25"/>
      <c r="K76" s="25"/>
      <c r="L76" s="25"/>
      <c r="M76" s="25"/>
      <c r="N76" s="25"/>
      <c r="O76" s="25"/>
      <c r="P76" s="25"/>
    </row>
    <row r="77" spans="1:16">
      <c r="A77" s="134" t="s">
        <v>30</v>
      </c>
      <c r="B77" s="134"/>
      <c r="C77" s="134"/>
      <c r="D77" s="20" t="s">
        <v>1</v>
      </c>
      <c r="E77" s="20" t="s">
        <v>2</v>
      </c>
      <c r="F77" s="20" t="s">
        <v>3</v>
      </c>
      <c r="G77" s="20" t="s">
        <v>5</v>
      </c>
      <c r="H77" s="20" t="s">
        <v>6</v>
      </c>
      <c r="I77" s="20" t="s">
        <v>7</v>
      </c>
      <c r="J77" s="20" t="s">
        <v>8</v>
      </c>
      <c r="K77" s="20" t="s">
        <v>9</v>
      </c>
      <c r="L77" s="20" t="s">
        <v>4</v>
      </c>
      <c r="M77" s="20" t="s">
        <v>10</v>
      </c>
      <c r="N77" s="20" t="s">
        <v>11</v>
      </c>
      <c r="O77" s="20" t="s">
        <v>12</v>
      </c>
      <c r="P77" s="20" t="s">
        <v>13</v>
      </c>
    </row>
    <row r="78" spans="1:16" s="7" customFormat="1">
      <c r="A78" s="126" t="s">
        <v>52</v>
      </c>
      <c r="B78" s="126"/>
      <c r="C78" s="126"/>
      <c r="D78" s="43">
        <f>SUM(E78:P78)</f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</row>
    <row r="79" spans="1:16" s="7" customFormat="1">
      <c r="A79" s="126" t="s">
        <v>53</v>
      </c>
      <c r="B79" s="126"/>
      <c r="C79" s="126"/>
      <c r="D79" s="43">
        <f>SUM(E79:P79)</f>
        <v>200</v>
      </c>
      <c r="E79" s="43">
        <v>200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</row>
    <row r="80" spans="1:16" s="7" customFormat="1">
      <c r="A80" s="126" t="s">
        <v>117</v>
      </c>
      <c r="B80" s="126"/>
      <c r="C80" s="126"/>
      <c r="D80" s="43">
        <f>SUM(E80:P80)</f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</row>
    <row r="81" spans="1:16" s="7" customFormat="1">
      <c r="A81" s="126" t="s">
        <v>103</v>
      </c>
      <c r="B81" s="126"/>
      <c r="C81" s="126"/>
      <c r="D81" s="43">
        <f>SUM(E81:P81)</f>
        <v>300</v>
      </c>
      <c r="E81" s="43">
        <v>300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</row>
    <row r="82" spans="1:16" s="7" customFormat="1">
      <c r="A82" s="126" t="s">
        <v>54</v>
      </c>
      <c r="B82" s="126"/>
      <c r="C82" s="126"/>
      <c r="D82" s="43">
        <f>SUM(E82:P82)</f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</row>
    <row r="83" spans="1:16">
      <c r="A83" s="25"/>
      <c r="B83" s="25"/>
      <c r="C83" s="25"/>
      <c r="D83" s="47">
        <f>SUM(D78+D79+D80+D81+D82)</f>
        <v>500</v>
      </c>
      <c r="E83" s="47">
        <f t="shared" ref="E83:P83" si="19">SUM(E78+E79+E80+E81+E82)</f>
        <v>500</v>
      </c>
      <c r="F83" s="47">
        <f t="shared" si="19"/>
        <v>0</v>
      </c>
      <c r="G83" s="47">
        <f t="shared" si="19"/>
        <v>0</v>
      </c>
      <c r="H83" s="47">
        <f t="shared" si="19"/>
        <v>0</v>
      </c>
      <c r="I83" s="47">
        <f t="shared" si="19"/>
        <v>0</v>
      </c>
      <c r="J83" s="47">
        <f t="shared" si="19"/>
        <v>0</v>
      </c>
      <c r="K83" s="47">
        <f t="shared" si="19"/>
        <v>0</v>
      </c>
      <c r="L83" s="47">
        <f t="shared" si="19"/>
        <v>0</v>
      </c>
      <c r="M83" s="47">
        <f t="shared" si="19"/>
        <v>0</v>
      </c>
      <c r="N83" s="47">
        <f t="shared" si="19"/>
        <v>0</v>
      </c>
      <c r="O83" s="47">
        <f t="shared" si="19"/>
        <v>0</v>
      </c>
      <c r="P83" s="47">
        <f t="shared" si="19"/>
        <v>0</v>
      </c>
    </row>
  </sheetData>
  <mergeCells count="68">
    <mergeCell ref="A82:C82"/>
    <mergeCell ref="A71:C71"/>
    <mergeCell ref="A72:C72"/>
    <mergeCell ref="A73:C73"/>
    <mergeCell ref="A76:H76"/>
    <mergeCell ref="A77:C77"/>
    <mergeCell ref="A81:C81"/>
    <mergeCell ref="A66:H66"/>
    <mergeCell ref="A68:C68"/>
    <mergeCell ref="A48:H48"/>
    <mergeCell ref="A69:C69"/>
    <mergeCell ref="A70:C70"/>
    <mergeCell ref="A50:C50"/>
    <mergeCell ref="A51:C51"/>
    <mergeCell ref="A52:C52"/>
    <mergeCell ref="A53:C53"/>
    <mergeCell ref="A63:C63"/>
    <mergeCell ref="A57:H57"/>
    <mergeCell ref="A54:C54"/>
    <mergeCell ref="A58:C58"/>
    <mergeCell ref="A59:C59"/>
    <mergeCell ref="A60:C60"/>
    <mergeCell ref="A49:C49"/>
    <mergeCell ref="H6:J6"/>
    <mergeCell ref="A78:C78"/>
    <mergeCell ref="A79:C79"/>
    <mergeCell ref="A80:C80"/>
    <mergeCell ref="A62:C62"/>
    <mergeCell ref="A14:C14"/>
    <mergeCell ref="A24:C24"/>
    <mergeCell ref="A29:C29"/>
    <mergeCell ref="A19:C19"/>
    <mergeCell ref="A36:C36"/>
    <mergeCell ref="A47:H47"/>
    <mergeCell ref="A18:C18"/>
    <mergeCell ref="A17:C17"/>
    <mergeCell ref="A39:H39"/>
    <mergeCell ref="A32:C32"/>
    <mergeCell ref="A33:C33"/>
    <mergeCell ref="A40:C40"/>
    <mergeCell ref="A41:C41"/>
    <mergeCell ref="A42:C42"/>
    <mergeCell ref="A43:C43"/>
    <mergeCell ref="A34:C34"/>
    <mergeCell ref="A35:C35"/>
    <mergeCell ref="A20:B20"/>
    <mergeCell ref="A25:B25"/>
    <mergeCell ref="A30:B30"/>
    <mergeCell ref="D11:P11"/>
    <mergeCell ref="D16:P16"/>
    <mergeCell ref="D21:P21"/>
    <mergeCell ref="D26:P26"/>
    <mergeCell ref="A9:H9"/>
    <mergeCell ref="A21:C21"/>
    <mergeCell ref="A2:F3"/>
    <mergeCell ref="A5:D5"/>
    <mergeCell ref="A31:C31"/>
    <mergeCell ref="A28:C28"/>
    <mergeCell ref="A10:C10"/>
    <mergeCell ref="A11:C11"/>
    <mergeCell ref="A12:C12"/>
    <mergeCell ref="A13:C13"/>
    <mergeCell ref="A16:C16"/>
    <mergeCell ref="A15:B15"/>
    <mergeCell ref="A22:C22"/>
    <mergeCell ref="A23:C23"/>
    <mergeCell ref="A26:C26"/>
    <mergeCell ref="A27:C2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AG51"/>
  <sheetViews>
    <sheetView zoomScale="98" zoomScaleNormal="98" workbookViewId="0">
      <selection activeCell="F14" sqref="E14:F14"/>
    </sheetView>
  </sheetViews>
  <sheetFormatPr defaultColWidth="11.42578125" defaultRowHeight="15"/>
  <cols>
    <col min="3" max="3" width="16" customWidth="1"/>
    <col min="4" max="4" width="17.28515625" customWidth="1"/>
  </cols>
  <sheetData>
    <row r="2" spans="1:19" s="4" customFormat="1" ht="31.5">
      <c r="A2" s="98" t="s">
        <v>148</v>
      </c>
      <c r="B2" s="98"/>
      <c r="C2" s="98"/>
      <c r="D2" s="98"/>
      <c r="E2" s="98"/>
      <c r="F2" s="98"/>
    </row>
    <row r="3" spans="1:19" s="2" customFormat="1" ht="15" customHeight="1">
      <c r="A3" s="98"/>
      <c r="B3" s="98"/>
      <c r="C3" s="98"/>
      <c r="D3" s="98"/>
      <c r="E3" s="98"/>
      <c r="F3" s="98"/>
    </row>
    <row r="4" spans="1:19" ht="31.5">
      <c r="B4" s="6"/>
    </row>
    <row r="7" spans="1:19" s="7" customFormat="1" ht="15" customHeight="1">
      <c r="A7" s="127" t="s">
        <v>109</v>
      </c>
      <c r="B7" s="127"/>
      <c r="C7" s="127"/>
      <c r="D7" s="14" t="s">
        <v>14</v>
      </c>
      <c r="E7" s="15" t="s">
        <v>15</v>
      </c>
      <c r="F7" s="15" t="s">
        <v>2</v>
      </c>
      <c r="G7" s="15" t="s">
        <v>3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4</v>
      </c>
      <c r="N7" s="15" t="s">
        <v>10</v>
      </c>
      <c r="O7" s="15" t="s">
        <v>11</v>
      </c>
      <c r="P7" s="15" t="s">
        <v>12</v>
      </c>
      <c r="Q7" s="15" t="s">
        <v>16</v>
      </c>
    </row>
    <row r="8" spans="1:19" s="7" customFormat="1">
      <c r="A8" s="128" t="s">
        <v>110</v>
      </c>
      <c r="B8" s="128"/>
      <c r="C8" s="128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5"/>
    </row>
    <row r="9" spans="1:19" s="7" customFormat="1">
      <c r="A9" s="136" t="s">
        <v>111</v>
      </c>
      <c r="B9" s="136"/>
      <c r="C9" s="136"/>
      <c r="D9" s="49">
        <f>SUM(F9+G9+H9+I9+J9+K9+L9+M9+N9+O9+P9+Q9)</f>
        <v>116001.79319200001</v>
      </c>
      <c r="E9" s="27">
        <f>(100-E10-E12)</f>
        <v>93.396538608787992</v>
      </c>
      <c r="F9" s="49">
        <v>8266.5225520000004</v>
      </c>
      <c r="G9" s="49">
        <v>5401.4286549999997</v>
      </c>
      <c r="H9" s="49">
        <v>4017.8446475000001</v>
      </c>
      <c r="I9" s="49">
        <v>6119.1647937500002</v>
      </c>
      <c r="J9" s="49">
        <v>8047.63477625</v>
      </c>
      <c r="K9" s="49">
        <v>15793.69986375</v>
      </c>
      <c r="L9" s="49">
        <v>18045.911728750001</v>
      </c>
      <c r="M9" s="49">
        <v>18495.852721250001</v>
      </c>
      <c r="N9" s="49">
        <v>8478.2267525000007</v>
      </c>
      <c r="O9" s="49">
        <v>5478.8086737499998</v>
      </c>
      <c r="P9" s="49">
        <v>3584.7818925000001</v>
      </c>
      <c r="Q9" s="49">
        <v>14271.916134999999</v>
      </c>
    </row>
    <row r="10" spans="1:19" s="7" customFormat="1">
      <c r="A10" s="136" t="s">
        <v>80</v>
      </c>
      <c r="B10" s="136"/>
      <c r="C10" s="136"/>
      <c r="D10" s="49">
        <f>SUM(F10+G10+H10+I10+J10+K10+L10+M10+N10+O10+P10+Q10)</f>
        <v>5827.6600000000008</v>
      </c>
      <c r="E10" s="27">
        <f>((100*D10)/D13)</f>
        <v>5.216115653352225</v>
      </c>
      <c r="F10" s="49">
        <v>102.5</v>
      </c>
      <c r="G10" s="49">
        <v>92.42</v>
      </c>
      <c r="H10" s="49">
        <v>120.5</v>
      </c>
      <c r="I10" s="49">
        <v>100.99</v>
      </c>
      <c r="J10" s="49">
        <v>668.3</v>
      </c>
      <c r="K10" s="49">
        <v>949.9</v>
      </c>
      <c r="L10" s="49">
        <v>1013.27</v>
      </c>
      <c r="M10" s="49">
        <v>998.36</v>
      </c>
      <c r="N10" s="49">
        <v>674.19</v>
      </c>
      <c r="O10" s="49">
        <v>263.97000000000003</v>
      </c>
      <c r="P10" s="49">
        <v>183.92</v>
      </c>
      <c r="Q10" s="49">
        <v>659.34</v>
      </c>
      <c r="S10"/>
    </row>
    <row r="11" spans="1:19" s="7" customFormat="1">
      <c r="A11" s="128" t="s">
        <v>112</v>
      </c>
      <c r="B11" s="128"/>
      <c r="C11" s="128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</row>
    <row r="12" spans="1:19" s="7" customFormat="1">
      <c r="A12" s="136" t="s">
        <v>39</v>
      </c>
      <c r="B12" s="136"/>
      <c r="C12" s="136"/>
      <c r="D12" s="49">
        <f>SUM(F12+G12+H12+I12+J12+K12+L12+M12+N12+O12+P12+Q12)</f>
        <v>1550</v>
      </c>
      <c r="E12" s="44">
        <f>((100*D12)/D13)</f>
        <v>1.3873457378597838</v>
      </c>
      <c r="F12" s="49">
        <v>50</v>
      </c>
      <c r="G12" s="49">
        <v>50</v>
      </c>
      <c r="H12" s="49">
        <v>100</v>
      </c>
      <c r="I12" s="49">
        <v>150</v>
      </c>
      <c r="J12" s="49">
        <v>150</v>
      </c>
      <c r="K12" s="49">
        <v>150</v>
      </c>
      <c r="L12" s="49">
        <v>150</v>
      </c>
      <c r="M12" s="49">
        <v>150</v>
      </c>
      <c r="N12" s="49">
        <v>150</v>
      </c>
      <c r="O12" s="49">
        <v>150</v>
      </c>
      <c r="P12" s="49">
        <v>150</v>
      </c>
      <c r="Q12" s="49">
        <v>150</v>
      </c>
      <c r="S12"/>
    </row>
    <row r="13" spans="1:19" ht="21">
      <c r="A13" s="127" t="s">
        <v>113</v>
      </c>
      <c r="B13" s="127"/>
      <c r="C13" s="127"/>
      <c r="D13" s="159">
        <f>SUM(D9-D10+D12)</f>
        <v>111724.13319200001</v>
      </c>
      <c r="E13" s="159"/>
      <c r="F13" s="159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9"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9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9" s="7" customFormat="1" ht="15" customHeight="1">
      <c r="A16" s="127" t="s">
        <v>17</v>
      </c>
      <c r="B16" s="127"/>
      <c r="C16" s="127"/>
      <c r="D16" s="8" t="s">
        <v>14</v>
      </c>
      <c r="E16" s="9" t="s">
        <v>15</v>
      </c>
      <c r="F16" s="9" t="s">
        <v>2</v>
      </c>
      <c r="G16" s="9" t="s">
        <v>3</v>
      </c>
      <c r="H16" s="9" t="s">
        <v>5</v>
      </c>
      <c r="I16" s="9" t="s">
        <v>6</v>
      </c>
      <c r="J16" s="9" t="s">
        <v>7</v>
      </c>
      <c r="K16" s="9" t="s">
        <v>8</v>
      </c>
      <c r="L16" s="9" t="s">
        <v>9</v>
      </c>
      <c r="M16" s="9" t="s">
        <v>4</v>
      </c>
      <c r="N16" s="9" t="s">
        <v>10</v>
      </c>
      <c r="O16" s="9" t="s">
        <v>11</v>
      </c>
      <c r="P16" s="9" t="s">
        <v>12</v>
      </c>
      <c r="Q16" s="9" t="s">
        <v>16</v>
      </c>
    </row>
    <row r="17" spans="1:17">
      <c r="A17" s="128" t="s">
        <v>41</v>
      </c>
      <c r="B17" s="128"/>
      <c r="C17" s="128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1:17">
      <c r="A18" s="135" t="s">
        <v>114</v>
      </c>
      <c r="B18" s="135"/>
      <c r="C18" s="135"/>
      <c r="D18" s="44">
        <f>SUM(F18:Q18)</f>
        <v>66524.230866907339</v>
      </c>
      <c r="E18" s="36"/>
      <c r="F18" s="48">
        <v>4284.7893498105004</v>
      </c>
      <c r="G18" s="48">
        <v>2478.0566125187502</v>
      </c>
      <c r="H18" s="48">
        <v>2133.6147867656246</v>
      </c>
      <c r="I18" s="48">
        <v>3321.9221885359402</v>
      </c>
      <c r="J18" s="48">
        <v>6443.9726544328096</v>
      </c>
      <c r="K18" s="48">
        <v>7464.0257751703102</v>
      </c>
      <c r="L18" s="48">
        <v>9715.8571447890608</v>
      </c>
      <c r="M18" s="48">
        <v>11011.157954660899</v>
      </c>
      <c r="N18" s="48">
        <v>6252.2818715000003</v>
      </c>
      <c r="O18" s="48">
        <v>3051.4314347703098</v>
      </c>
      <c r="P18" s="48">
        <v>1642.9580520468749</v>
      </c>
      <c r="Q18" s="48">
        <v>8724.1630419062494</v>
      </c>
    </row>
    <row r="19" spans="1:17">
      <c r="A19" s="135" t="s">
        <v>115</v>
      </c>
      <c r="B19" s="135"/>
      <c r="C19" s="135"/>
      <c r="D19" s="44">
        <f>SUM(F19:Q19)</f>
        <v>1300.4846173381479</v>
      </c>
      <c r="E19" s="36"/>
      <c r="F19" s="48">
        <v>502.52762734467899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797.95698999346905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</row>
    <row r="20" spans="1:17">
      <c r="A20" s="128" t="s">
        <v>42</v>
      </c>
      <c r="B20" s="128"/>
      <c r="C20" s="128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1:17">
      <c r="A21" s="135" t="s">
        <v>44</v>
      </c>
      <c r="B21" s="135"/>
      <c r="C21" s="135"/>
      <c r="D21" s="44">
        <f>SUM(F21:Q21)</f>
        <v>3000</v>
      </c>
      <c r="E21" s="36"/>
      <c r="F21" s="48">
        <v>300</v>
      </c>
      <c r="G21" s="48">
        <v>250</v>
      </c>
      <c r="H21" s="48">
        <v>200</v>
      </c>
      <c r="I21" s="48">
        <v>400</v>
      </c>
      <c r="J21" s="48">
        <v>350</v>
      </c>
      <c r="K21" s="48">
        <v>200</v>
      </c>
      <c r="L21" s="48">
        <v>200</v>
      </c>
      <c r="M21" s="48">
        <v>350</v>
      </c>
      <c r="N21" s="48">
        <v>100</v>
      </c>
      <c r="O21" s="48">
        <v>200</v>
      </c>
      <c r="P21" s="48">
        <v>150</v>
      </c>
      <c r="Q21" s="48">
        <v>300</v>
      </c>
    </row>
    <row r="22" spans="1:17">
      <c r="A22" s="135" t="s">
        <v>45</v>
      </c>
      <c r="B22" s="135"/>
      <c r="C22" s="135"/>
      <c r="D22" s="44">
        <f>SUM(F22:Q22)</f>
        <v>7200</v>
      </c>
      <c r="E22" s="36"/>
      <c r="F22" s="48">
        <v>600</v>
      </c>
      <c r="G22" s="48">
        <v>600</v>
      </c>
      <c r="H22" s="48">
        <v>600</v>
      </c>
      <c r="I22" s="48">
        <v>600</v>
      </c>
      <c r="J22" s="48">
        <v>600</v>
      </c>
      <c r="K22" s="48">
        <v>600</v>
      </c>
      <c r="L22" s="48">
        <v>600</v>
      </c>
      <c r="M22" s="48">
        <v>600</v>
      </c>
      <c r="N22" s="48">
        <v>600</v>
      </c>
      <c r="O22" s="48">
        <v>600</v>
      </c>
      <c r="P22" s="48">
        <v>600</v>
      </c>
      <c r="Q22" s="48">
        <v>600</v>
      </c>
    </row>
    <row r="23" spans="1:17">
      <c r="A23" s="128" t="s">
        <v>43</v>
      </c>
      <c r="B23" s="128"/>
      <c r="C23" s="128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1:17">
      <c r="A24" s="135" t="s">
        <v>46</v>
      </c>
      <c r="B24" s="135"/>
      <c r="C24" s="135"/>
      <c r="D24" s="44">
        <f>SUM(F24:Q24)</f>
        <v>3600</v>
      </c>
      <c r="E24" s="36"/>
      <c r="F24" s="48">
        <v>300</v>
      </c>
      <c r="G24" s="48">
        <v>300</v>
      </c>
      <c r="H24" s="48">
        <v>300</v>
      </c>
      <c r="I24" s="48">
        <v>300</v>
      </c>
      <c r="J24" s="48">
        <v>300</v>
      </c>
      <c r="K24" s="48">
        <v>300</v>
      </c>
      <c r="L24" s="48">
        <v>300</v>
      </c>
      <c r="M24" s="48">
        <v>300</v>
      </c>
      <c r="N24" s="48">
        <v>300</v>
      </c>
      <c r="O24" s="48">
        <v>300</v>
      </c>
      <c r="P24" s="48">
        <v>300</v>
      </c>
      <c r="Q24" s="48">
        <v>300</v>
      </c>
    </row>
    <row r="25" spans="1:17">
      <c r="A25" s="134" t="s">
        <v>27</v>
      </c>
      <c r="B25" s="134"/>
      <c r="C25" s="134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1:17">
      <c r="A26" s="126" t="s">
        <v>47</v>
      </c>
      <c r="B26" s="126"/>
      <c r="C26" s="126"/>
      <c r="D26" s="44">
        <f>SUM(F26:Q26)</f>
        <v>2800</v>
      </c>
      <c r="E26" s="36"/>
      <c r="F26" s="48">
        <v>2000</v>
      </c>
      <c r="G26" s="48">
        <v>0</v>
      </c>
      <c r="H26" s="48">
        <v>0</v>
      </c>
      <c r="I26" s="48">
        <v>0</v>
      </c>
      <c r="J26" s="48">
        <v>100</v>
      </c>
      <c r="K26" s="48">
        <v>150</v>
      </c>
      <c r="L26" s="48">
        <v>150</v>
      </c>
      <c r="M26" s="48">
        <v>0</v>
      </c>
      <c r="N26" s="48">
        <v>0</v>
      </c>
      <c r="O26" s="48">
        <v>0</v>
      </c>
      <c r="P26" s="48">
        <v>0</v>
      </c>
      <c r="Q26" s="48">
        <v>400</v>
      </c>
    </row>
    <row r="27" spans="1:17">
      <c r="A27" s="126" t="s">
        <v>116</v>
      </c>
      <c r="B27" s="126"/>
      <c r="C27" s="126"/>
      <c r="D27" s="44">
        <f>SUM(F27:Q27)</f>
        <v>0</v>
      </c>
      <c r="E27" s="36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</row>
    <row r="28" spans="1:17">
      <c r="A28" s="126" t="s">
        <v>49</v>
      </c>
      <c r="B28" s="126"/>
      <c r="C28" s="126"/>
      <c r="D28" s="44">
        <f>SUM(F28:Q28)</f>
        <v>500</v>
      </c>
      <c r="E28" s="36"/>
      <c r="F28" s="48">
        <v>200</v>
      </c>
      <c r="G28" s="48">
        <v>100</v>
      </c>
      <c r="H28" s="48">
        <v>0</v>
      </c>
      <c r="I28" s="48">
        <v>0</v>
      </c>
      <c r="J28" s="48">
        <v>0</v>
      </c>
      <c r="K28" s="48">
        <v>0</v>
      </c>
      <c r="L28" s="48">
        <v>100</v>
      </c>
      <c r="M28" s="48">
        <v>0</v>
      </c>
      <c r="N28" s="48">
        <v>0</v>
      </c>
      <c r="O28" s="48">
        <v>0</v>
      </c>
      <c r="P28" s="48">
        <v>100</v>
      </c>
      <c r="Q28" s="48">
        <v>0</v>
      </c>
    </row>
    <row r="29" spans="1:17">
      <c r="A29" s="126" t="s">
        <v>102</v>
      </c>
      <c r="B29" s="126"/>
      <c r="C29" s="126"/>
      <c r="D29" s="44">
        <f>SUM(F29:Q29)</f>
        <v>600</v>
      </c>
      <c r="E29" s="36"/>
      <c r="F29" s="48">
        <v>0</v>
      </c>
      <c r="G29" s="48">
        <v>0</v>
      </c>
      <c r="H29" s="48">
        <v>0</v>
      </c>
      <c r="I29" s="48">
        <v>0</v>
      </c>
      <c r="J29" s="48">
        <v>200</v>
      </c>
      <c r="K29" s="48">
        <v>200</v>
      </c>
      <c r="L29" s="48">
        <v>200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</row>
    <row r="30" spans="1:17">
      <c r="A30" s="126" t="s">
        <v>51</v>
      </c>
      <c r="B30" s="126"/>
      <c r="C30" s="126"/>
      <c r="D30" s="44">
        <f>SUM(F30:Q30)</f>
        <v>500</v>
      </c>
      <c r="E30" s="36"/>
      <c r="F30" s="48">
        <v>500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</row>
    <row r="31" spans="1:17">
      <c r="A31" s="134" t="s">
        <v>30</v>
      </c>
      <c r="B31" s="134"/>
      <c r="C31" s="134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</row>
    <row r="32" spans="1:17" s="7" customFormat="1">
      <c r="A32" s="126" t="s">
        <v>52</v>
      </c>
      <c r="B32" s="126"/>
      <c r="C32" s="126"/>
      <c r="D32" s="44">
        <f>SUM(F32:Q32)</f>
        <v>0</v>
      </c>
      <c r="E32" s="32"/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</row>
    <row r="33" spans="1:33" s="7" customFormat="1">
      <c r="A33" s="126" t="s">
        <v>53</v>
      </c>
      <c r="B33" s="126"/>
      <c r="C33" s="126"/>
      <c r="D33" s="44">
        <f>SUM(F33:Q33)</f>
        <v>200</v>
      </c>
      <c r="E33" s="32"/>
      <c r="F33" s="49">
        <v>200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</row>
    <row r="34" spans="1:33" s="7" customFormat="1">
      <c r="A34" s="126" t="s">
        <v>117</v>
      </c>
      <c r="B34" s="126"/>
      <c r="C34" s="126"/>
      <c r="D34" s="44">
        <f>SUM(F34:Q34)</f>
        <v>0</v>
      </c>
      <c r="E34" s="32"/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</row>
    <row r="35" spans="1:33" s="7" customFormat="1">
      <c r="A35" s="126" t="s">
        <v>103</v>
      </c>
      <c r="B35" s="126"/>
      <c r="C35" s="126"/>
      <c r="D35" s="44">
        <f>SUM(F35:Q35)</f>
        <v>300</v>
      </c>
      <c r="E35" s="32"/>
      <c r="F35" s="49">
        <v>300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</row>
    <row r="36" spans="1:33" s="7" customFormat="1">
      <c r="A36" s="126" t="s">
        <v>54</v>
      </c>
      <c r="B36" s="126"/>
      <c r="C36" s="126"/>
      <c r="D36" s="44">
        <f>SUM(F36:Q36)</f>
        <v>0</v>
      </c>
      <c r="E36" s="32"/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</row>
    <row r="37" spans="1:33" s="7" customFormat="1" ht="21">
      <c r="A37" s="127" t="s">
        <v>75</v>
      </c>
      <c r="B37" s="127"/>
      <c r="C37" s="127"/>
      <c r="D37" s="159">
        <f>SUM(D18+D19+D21+D22+D24+D26+D27+D28+D29+D30+D32+D33+D34+D35+D36)</f>
        <v>86524.715484245491</v>
      </c>
      <c r="E37" s="159"/>
      <c r="F37" s="159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33" s="7" customFormat="1">
      <c r="A38" s="10"/>
      <c r="B38" s="10"/>
      <c r="C38" s="10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33" s="7" customFormat="1">
      <c r="A39" s="128" t="s">
        <v>40</v>
      </c>
      <c r="B39" s="128"/>
      <c r="C39" s="128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1:33" s="7" customFormat="1">
      <c r="A40" s="131" t="s">
        <v>109</v>
      </c>
      <c r="B40" s="131"/>
      <c r="C40" s="131"/>
      <c r="D40" s="163">
        <f>D13</f>
        <v>111724.13319200001</v>
      </c>
      <c r="E40" s="163"/>
      <c r="F40" s="163"/>
      <c r="G40" s="117" t="s">
        <v>83</v>
      </c>
      <c r="H40" s="118"/>
      <c r="I40" s="119"/>
      <c r="J40" s="193">
        <f>'1'!J46:L46</f>
        <v>5472</v>
      </c>
      <c r="K40" s="194"/>
      <c r="L40" s="195"/>
      <c r="M40"/>
      <c r="N40"/>
      <c r="O40"/>
      <c r="P40" s="32"/>
      <c r="Q40" s="32"/>
    </row>
    <row r="41" spans="1:33" s="7" customFormat="1">
      <c r="A41" s="131" t="s">
        <v>17</v>
      </c>
      <c r="B41" s="131"/>
      <c r="C41" s="131"/>
      <c r="D41" s="163">
        <f>D37</f>
        <v>86524.715484245491</v>
      </c>
      <c r="E41" s="163"/>
      <c r="F41" s="163"/>
      <c r="G41" s="117" t="s">
        <v>77</v>
      </c>
      <c r="H41" s="118"/>
      <c r="I41" s="119"/>
      <c r="J41" s="193">
        <f>'1'!J47:L47-'3'!J40:L40</f>
        <v>16416</v>
      </c>
      <c r="K41" s="194"/>
      <c r="L41" s="195"/>
      <c r="M41" s="32"/>
      <c r="N41" s="32"/>
      <c r="O41" s="32"/>
      <c r="P41" s="32"/>
      <c r="Q41" s="32"/>
    </row>
    <row r="42" spans="1:33" s="13" customFormat="1">
      <c r="A42" s="37"/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7" customFormat="1" ht="15" customHeight="1" thickBot="1">
      <c r="A43" s="37"/>
      <c r="B43" s="37"/>
      <c r="C43" s="37"/>
      <c r="D43" s="37"/>
      <c r="E43" s="37"/>
      <c r="F43" s="37"/>
      <c r="I43"/>
      <c r="J43"/>
      <c r="K43"/>
      <c r="L43"/>
      <c r="M43"/>
      <c r="N43"/>
    </row>
    <row r="44" spans="1:33" s="7" customFormat="1" ht="21" customHeight="1">
      <c r="A44" s="132" t="s">
        <v>55</v>
      </c>
      <c r="B44" s="132"/>
      <c r="C44" s="133"/>
      <c r="D44" s="160">
        <f>(D40-D41)</f>
        <v>25199.417707754517</v>
      </c>
      <c r="E44" s="161"/>
      <c r="F44" s="162"/>
      <c r="I44"/>
      <c r="J44" s="108" t="s">
        <v>57</v>
      </c>
      <c r="K44" s="109"/>
      <c r="L44" s="110"/>
      <c r="M44" s="99">
        <f>(D44-D45)</f>
        <v>19907.539989126068</v>
      </c>
      <c r="N44" s="100"/>
      <c r="O44" s="101"/>
    </row>
    <row r="45" spans="1:33" ht="21.75" customHeight="1">
      <c r="A45" s="129" t="s">
        <v>56</v>
      </c>
      <c r="B45" s="129"/>
      <c r="C45" s="130"/>
      <c r="D45" s="160">
        <f>(D44*21)/100</f>
        <v>5291.8777186284478</v>
      </c>
      <c r="E45" s="161"/>
      <c r="F45" s="162"/>
      <c r="J45" s="111"/>
      <c r="K45" s="112"/>
      <c r="L45" s="113"/>
      <c r="M45" s="102"/>
      <c r="N45" s="103"/>
      <c r="O45" s="104"/>
    </row>
    <row r="46" spans="1:33" ht="15.75" thickBot="1">
      <c r="J46" s="114"/>
      <c r="K46" s="115"/>
      <c r="L46" s="116"/>
      <c r="M46" s="105"/>
      <c r="N46" s="106"/>
      <c r="O46" s="107"/>
    </row>
    <row r="48" spans="1:33" ht="15.75" customHeight="1">
      <c r="B48" s="182" t="s">
        <v>144</v>
      </c>
      <c r="C48" s="182"/>
      <c r="D48" s="185">
        <f>D22+D24+D26+D28+D29+D30+D33+D35</f>
        <v>15700</v>
      </c>
      <c r="E48" s="185"/>
      <c r="F48" s="185"/>
    </row>
    <row r="49" spans="2:6" ht="15.75" customHeight="1">
      <c r="B49" s="183" t="s">
        <v>145</v>
      </c>
      <c r="C49" s="183"/>
      <c r="D49" s="189">
        <f>D18+D19+D21</f>
        <v>70824.715484245491</v>
      </c>
      <c r="E49" s="189"/>
      <c r="F49" s="189"/>
    </row>
    <row r="50" spans="2:6" ht="15" customHeight="1">
      <c r="B50" s="89" t="s">
        <v>109</v>
      </c>
      <c r="C50" s="90"/>
      <c r="D50" s="186">
        <f>D13</f>
        <v>111724.13319200001</v>
      </c>
      <c r="E50" s="187"/>
      <c r="F50" s="188"/>
    </row>
    <row r="51" spans="2:6" ht="18.75">
      <c r="B51" s="184" t="s">
        <v>146</v>
      </c>
      <c r="C51" s="184"/>
      <c r="D51" s="190">
        <f>+D48/(1-(D49/D50))</f>
        <v>42887.380540428312</v>
      </c>
      <c r="E51" s="191"/>
      <c r="F51" s="192"/>
    </row>
  </sheetData>
  <mergeCells count="55">
    <mergeCell ref="A37:C37"/>
    <mergeCell ref="D37:F37"/>
    <mergeCell ref="A39:C39"/>
    <mergeCell ref="A40:C40"/>
    <mergeCell ref="D40:F40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D13:F13"/>
    <mergeCell ref="A16:C16"/>
    <mergeCell ref="A17:C17"/>
    <mergeCell ref="A18:C18"/>
    <mergeCell ref="A19:C19"/>
    <mergeCell ref="A20:C20"/>
    <mergeCell ref="A21:C21"/>
    <mergeCell ref="A22:C22"/>
    <mergeCell ref="A23:C23"/>
    <mergeCell ref="A2:F3"/>
    <mergeCell ref="A12:C12"/>
    <mergeCell ref="A7:C7"/>
    <mergeCell ref="A8:C8"/>
    <mergeCell ref="A9:C9"/>
    <mergeCell ref="A10:C10"/>
    <mergeCell ref="A11:C11"/>
    <mergeCell ref="M44:O46"/>
    <mergeCell ref="J40:L40"/>
    <mergeCell ref="G41:I41"/>
    <mergeCell ref="J41:L41"/>
    <mergeCell ref="A45:C45"/>
    <mergeCell ref="D45:F45"/>
    <mergeCell ref="J44:L46"/>
    <mergeCell ref="A44:C44"/>
    <mergeCell ref="D44:F44"/>
    <mergeCell ref="A41:C41"/>
    <mergeCell ref="D41:F41"/>
    <mergeCell ref="G40:I40"/>
    <mergeCell ref="B48:C48"/>
    <mergeCell ref="B49:C49"/>
    <mergeCell ref="B50:C50"/>
    <mergeCell ref="B51:C51"/>
    <mergeCell ref="D48:F48"/>
    <mergeCell ref="D50:F50"/>
    <mergeCell ref="D49:F49"/>
    <mergeCell ref="D51:F5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O40"/>
  <sheetViews>
    <sheetView tabSelected="1" topLeftCell="A25" zoomScaleNormal="100" workbookViewId="0">
      <selection activeCell="J32" sqref="J32"/>
    </sheetView>
  </sheetViews>
  <sheetFormatPr defaultColWidth="11.42578125" defaultRowHeight="15"/>
  <sheetData>
    <row r="2" spans="1:11" s="4" customFormat="1" ht="31.5">
      <c r="A2" s="166" t="s">
        <v>90</v>
      </c>
      <c r="B2" s="166"/>
      <c r="C2" s="166"/>
      <c r="D2" s="166"/>
      <c r="E2" s="166"/>
      <c r="F2" s="166"/>
      <c r="G2" s="166"/>
      <c r="H2" s="166"/>
      <c r="I2" s="166"/>
    </row>
    <row r="3" spans="1:11" s="2" customFormat="1">
      <c r="A3" s="166"/>
      <c r="B3" s="166"/>
      <c r="C3" s="166"/>
      <c r="D3" s="166"/>
      <c r="E3" s="166"/>
      <c r="F3" s="166"/>
      <c r="G3" s="166"/>
      <c r="H3" s="166"/>
      <c r="I3" s="166"/>
    </row>
    <row r="6" spans="1:11">
      <c r="A6" s="134" t="s">
        <v>132</v>
      </c>
      <c r="B6" s="134"/>
      <c r="C6" s="134"/>
      <c r="D6" s="41">
        <v>41274</v>
      </c>
      <c r="E6" s="40">
        <v>41639</v>
      </c>
      <c r="F6" s="40">
        <v>42004</v>
      </c>
      <c r="G6" s="40">
        <v>42369</v>
      </c>
      <c r="H6" s="40">
        <v>42735</v>
      </c>
      <c r="I6" s="40">
        <v>43100</v>
      </c>
    </row>
    <row r="7" spans="1:11">
      <c r="A7" s="127" t="s">
        <v>60</v>
      </c>
      <c r="B7" s="127"/>
      <c r="C7" s="127"/>
      <c r="D7" s="31"/>
      <c r="E7" s="31"/>
      <c r="F7" s="38"/>
      <c r="G7" s="39"/>
      <c r="H7" s="31"/>
      <c r="I7" s="38"/>
    </row>
    <row r="8" spans="1:11">
      <c r="A8" s="134" t="s">
        <v>91</v>
      </c>
      <c r="B8" s="134"/>
      <c r="C8" s="134"/>
      <c r="D8" s="50">
        <f>SUM(D9:D12)</f>
        <v>0</v>
      </c>
      <c r="E8" s="50">
        <f t="shared" ref="E8:I8" si="0">SUM(E9:E12)</f>
        <v>29694.661899999999</v>
      </c>
      <c r="F8" s="50">
        <f t="shared" si="0"/>
        <v>22270.995900000002</v>
      </c>
      <c r="G8" s="50">
        <f t="shared" si="0"/>
        <v>14847.329900000001</v>
      </c>
      <c r="H8" s="50">
        <f t="shared" si="0"/>
        <v>7423.6638999999996</v>
      </c>
      <c r="I8" s="50">
        <f t="shared" si="0"/>
        <v>-2.1000000015192199E-3</v>
      </c>
    </row>
    <row r="9" spans="1:11">
      <c r="A9" s="199" t="s">
        <v>62</v>
      </c>
      <c r="B9" s="200"/>
      <c r="C9" s="200"/>
      <c r="D9" s="48">
        <v>0</v>
      </c>
      <c r="E9" s="48">
        <v>21071.4686</v>
      </c>
      <c r="F9" s="48">
        <v>21071.4686</v>
      </c>
      <c r="G9" s="48">
        <v>21071.4686</v>
      </c>
      <c r="H9" s="48">
        <v>21071.4686</v>
      </c>
      <c r="I9" s="48">
        <v>21071.4686</v>
      </c>
      <c r="K9" s="36"/>
    </row>
    <row r="10" spans="1:11">
      <c r="A10" s="196" t="s">
        <v>101</v>
      </c>
      <c r="B10" s="197"/>
      <c r="C10" s="198"/>
      <c r="D10" s="48">
        <v>0</v>
      </c>
      <c r="E10" s="48">
        <v>-7423.6660000000002</v>
      </c>
      <c r="F10" s="48">
        <f>+E10*2</f>
        <v>-14847.332</v>
      </c>
      <c r="G10" s="48">
        <f>+E10*3</f>
        <v>-22270.998</v>
      </c>
      <c r="H10" s="48">
        <f>+E10*4</f>
        <v>-29694.664000000001</v>
      </c>
      <c r="I10" s="48">
        <f>+E10*5</f>
        <v>-37118.33</v>
      </c>
    </row>
    <row r="11" spans="1:11">
      <c r="A11" s="199" t="s">
        <v>63</v>
      </c>
      <c r="B11" s="200"/>
      <c r="C11" s="200"/>
      <c r="D11" s="48">
        <v>0</v>
      </c>
      <c r="E11" s="48">
        <v>16046.8593</v>
      </c>
      <c r="F11" s="48">
        <v>16046.8593</v>
      </c>
      <c r="G11" s="48">
        <v>16046.8593</v>
      </c>
      <c r="H11" s="48">
        <v>16046.8593</v>
      </c>
      <c r="I11" s="48">
        <v>16046.8593</v>
      </c>
      <c r="K11" s="36"/>
    </row>
    <row r="12" spans="1:11">
      <c r="A12" s="199" t="s">
        <v>85</v>
      </c>
      <c r="B12" s="200"/>
      <c r="C12" s="200"/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</row>
    <row r="13" spans="1:11">
      <c r="A13" s="134" t="s">
        <v>92</v>
      </c>
      <c r="B13" s="134"/>
      <c r="C13" s="201"/>
      <c r="D13" s="50">
        <f>SUM(D14:D16)</f>
        <v>27000</v>
      </c>
      <c r="E13" s="50">
        <f t="shared" ref="E13:I13" si="1">SUM(E14:E16)</f>
        <v>7591.5219999999999</v>
      </c>
      <c r="F13" s="50">
        <f t="shared" si="1"/>
        <v>34972.001000000004</v>
      </c>
      <c r="G13" s="50">
        <f t="shared" si="1"/>
        <v>36734.53</v>
      </c>
      <c r="H13" s="50">
        <f t="shared" si="1"/>
        <v>24386.249999999993</v>
      </c>
      <c r="I13" s="50">
        <f t="shared" si="1"/>
        <v>29526.01</v>
      </c>
      <c r="K13" s="36"/>
    </row>
    <row r="14" spans="1:11">
      <c r="A14" s="199" t="s">
        <v>133</v>
      </c>
      <c r="B14" s="200"/>
      <c r="C14" s="200"/>
      <c r="D14" s="48">
        <v>0</v>
      </c>
      <c r="E14" s="48">
        <v>7457.2359999999999</v>
      </c>
      <c r="F14" s="48">
        <v>13117.712200000002</v>
      </c>
      <c r="G14" s="48">
        <v>13470.218000000001</v>
      </c>
      <c r="H14" s="48">
        <v>19000.562000000002</v>
      </c>
      <c r="I14" s="48">
        <v>20028.513999999999</v>
      </c>
    </row>
    <row r="15" spans="1:11">
      <c r="A15" s="199" t="s">
        <v>86</v>
      </c>
      <c r="B15" s="200"/>
      <c r="C15" s="200"/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K15" s="62"/>
    </row>
    <row r="16" spans="1:11">
      <c r="A16" s="199" t="s">
        <v>87</v>
      </c>
      <c r="B16" s="200"/>
      <c r="C16" s="200"/>
      <c r="D16" s="48">
        <v>27000</v>
      </c>
      <c r="E16" s="48">
        <v>134.28599999999983</v>
      </c>
      <c r="F16" s="48">
        <f>21538.9088+315.38</f>
        <v>21854.288800000002</v>
      </c>
      <c r="G16" s="48">
        <f>22948.932+315.38</f>
        <v>23264.312000000002</v>
      </c>
      <c r="H16" s="48">
        <f>5070.30799999999+315.38</f>
        <v>5385.6879999999901</v>
      </c>
      <c r="I16" s="48">
        <f>9182.116+315.38</f>
        <v>9497.4959999999992</v>
      </c>
    </row>
    <row r="17" spans="1:15">
      <c r="A17" s="131" t="s">
        <v>61</v>
      </c>
      <c r="B17" s="131"/>
      <c r="C17" s="131"/>
      <c r="D17" s="51">
        <f>+D8+D13</f>
        <v>27000</v>
      </c>
      <c r="E17" s="63">
        <f t="shared" ref="E17:I17" si="2">+E8+E13</f>
        <v>37286.183899999996</v>
      </c>
      <c r="F17" s="63">
        <f t="shared" si="2"/>
        <v>57242.996900000006</v>
      </c>
      <c r="G17" s="63">
        <f t="shared" si="2"/>
        <v>51581.859899999996</v>
      </c>
      <c r="H17" s="63">
        <f t="shared" si="2"/>
        <v>31809.913899999992</v>
      </c>
      <c r="I17" s="63">
        <f t="shared" si="2"/>
        <v>29526.007899999997</v>
      </c>
    </row>
    <row r="18" spans="1:15">
      <c r="A18" s="127" t="s">
        <v>135</v>
      </c>
      <c r="B18" s="127"/>
      <c r="C18" s="127"/>
      <c r="D18" s="31"/>
      <c r="E18" s="31"/>
      <c r="F18" s="38"/>
      <c r="G18" s="39"/>
      <c r="H18" s="31"/>
      <c r="I18" s="38"/>
    </row>
    <row r="19" spans="1:15">
      <c r="A19" s="134" t="s">
        <v>64</v>
      </c>
      <c r="B19" s="134"/>
      <c r="C19" s="134"/>
      <c r="D19" s="50">
        <f>SUM(D20:D21)</f>
        <v>7000</v>
      </c>
      <c r="E19" s="50">
        <f t="shared" ref="E19:I19" si="3">SUM(E20:E21)</f>
        <v>16562.02</v>
      </c>
      <c r="F19" s="50">
        <f t="shared" si="3"/>
        <v>38947.616900000008</v>
      </c>
      <c r="G19" s="50">
        <f t="shared" si="3"/>
        <v>34429.529899999994</v>
      </c>
      <c r="H19" s="50">
        <f t="shared" si="3"/>
        <v>19210.74389999999</v>
      </c>
      <c r="I19" s="50">
        <f t="shared" si="3"/>
        <v>18784.337899999999</v>
      </c>
    </row>
    <row r="20" spans="1:15">
      <c r="A20" s="199" t="s">
        <v>65</v>
      </c>
      <c r="B20" s="200"/>
      <c r="C20" s="200"/>
      <c r="D20" s="48">
        <v>7000</v>
      </c>
      <c r="E20" s="48">
        <v>7000</v>
      </c>
      <c r="F20" s="48">
        <v>7000</v>
      </c>
      <c r="G20" s="48">
        <v>7000</v>
      </c>
      <c r="H20" s="48">
        <v>7000</v>
      </c>
      <c r="I20" s="48">
        <v>7000</v>
      </c>
    </row>
    <row r="21" spans="1:15">
      <c r="A21" s="199" t="s">
        <v>153</v>
      </c>
      <c r="B21" s="200"/>
      <c r="C21" s="200"/>
      <c r="D21" s="48">
        <v>0</v>
      </c>
      <c r="E21" s="48">
        <v>9562.02</v>
      </c>
      <c r="F21" s="48">
        <v>31947.616900000008</v>
      </c>
      <c r="G21" s="60">
        <v>27429.529899999994</v>
      </c>
      <c r="H21" s="60">
        <v>12210.74389999999</v>
      </c>
      <c r="I21" s="60">
        <v>11784.337899999999</v>
      </c>
      <c r="K21" s="64"/>
      <c r="L21" s="64"/>
      <c r="M21" s="64"/>
      <c r="N21" s="64"/>
      <c r="O21" s="64"/>
    </row>
    <row r="22" spans="1:15">
      <c r="A22" s="134" t="s">
        <v>93</v>
      </c>
      <c r="B22" s="134"/>
      <c r="C22" s="134"/>
      <c r="D22" s="50">
        <f>D23</f>
        <v>16000</v>
      </c>
      <c r="E22" s="50">
        <f t="shared" ref="E22:I22" si="4">E23</f>
        <v>12000</v>
      </c>
      <c r="F22" s="50">
        <f t="shared" si="4"/>
        <v>8000</v>
      </c>
      <c r="G22" s="50">
        <f t="shared" si="4"/>
        <v>4000</v>
      </c>
      <c r="H22" s="50">
        <f t="shared" si="4"/>
        <v>0</v>
      </c>
      <c r="I22" s="50">
        <f t="shared" si="4"/>
        <v>0</v>
      </c>
    </row>
    <row r="23" spans="1:15">
      <c r="A23" s="199" t="s">
        <v>88</v>
      </c>
      <c r="B23" s="200"/>
      <c r="C23" s="200"/>
      <c r="D23" s="61">
        <v>16000</v>
      </c>
      <c r="E23" s="61">
        <v>12000</v>
      </c>
      <c r="F23" s="61">
        <v>8000</v>
      </c>
      <c r="G23" s="61">
        <v>4000</v>
      </c>
      <c r="H23" s="61">
        <v>0</v>
      </c>
      <c r="I23" s="48">
        <v>0</v>
      </c>
    </row>
    <row r="24" spans="1:15">
      <c r="A24" s="134" t="s">
        <v>94</v>
      </c>
      <c r="B24" s="134"/>
      <c r="C24" s="134"/>
      <c r="D24" s="50">
        <f>SUM(D25:D26)</f>
        <v>4000</v>
      </c>
      <c r="E24" s="50">
        <f t="shared" ref="E24:I24" si="5">SUM(E25:E26)</f>
        <v>8724.16</v>
      </c>
      <c r="F24" s="50">
        <f t="shared" si="5"/>
        <v>10295.380000000001</v>
      </c>
      <c r="G24" s="50">
        <f t="shared" si="5"/>
        <v>13152.33</v>
      </c>
      <c r="H24" s="50">
        <f t="shared" si="5"/>
        <v>12599.17</v>
      </c>
      <c r="I24" s="50">
        <f t="shared" si="5"/>
        <v>10741.67</v>
      </c>
    </row>
    <row r="25" spans="1:15">
      <c r="A25" s="196" t="s">
        <v>89</v>
      </c>
      <c r="B25" s="197"/>
      <c r="C25" s="198"/>
      <c r="D25" s="61">
        <v>4000</v>
      </c>
      <c r="E25" s="61">
        <v>4000</v>
      </c>
      <c r="F25" s="61">
        <v>4000</v>
      </c>
      <c r="G25" s="61">
        <v>4000</v>
      </c>
      <c r="H25" s="61">
        <v>4000</v>
      </c>
      <c r="I25" s="48">
        <v>0</v>
      </c>
    </row>
    <row r="26" spans="1:15">
      <c r="A26" s="199" t="s">
        <v>134</v>
      </c>
      <c r="B26" s="200"/>
      <c r="C26" s="200"/>
      <c r="D26" s="48">
        <v>0</v>
      </c>
      <c r="E26" s="48">
        <v>4724.16</v>
      </c>
      <c r="F26" s="48">
        <v>6295.38</v>
      </c>
      <c r="G26" s="48">
        <v>9152.33</v>
      </c>
      <c r="H26" s="48">
        <v>8599.17</v>
      </c>
      <c r="I26" s="48">
        <v>10741.67</v>
      </c>
    </row>
    <row r="27" spans="1:15">
      <c r="A27" s="131" t="s">
        <v>136</v>
      </c>
      <c r="B27" s="131"/>
      <c r="C27" s="131"/>
      <c r="D27" s="51">
        <f>+D19+D22+D24</f>
        <v>27000</v>
      </c>
      <c r="E27" s="63">
        <f t="shared" ref="E27:I27" si="6">+E19+E22+E24</f>
        <v>37286.18</v>
      </c>
      <c r="F27" s="63">
        <f t="shared" si="6"/>
        <v>57242.996900000013</v>
      </c>
      <c r="G27" s="63">
        <f t="shared" si="6"/>
        <v>51581.859899999996</v>
      </c>
      <c r="H27" s="63">
        <f t="shared" si="6"/>
        <v>31809.913899999992</v>
      </c>
      <c r="I27" s="63">
        <f t="shared" si="6"/>
        <v>29526.007899999997</v>
      </c>
    </row>
    <row r="28" spans="1:15">
      <c r="G28" s="64"/>
      <c r="H28" s="64"/>
      <c r="I28" s="64"/>
    </row>
    <row r="29" spans="1:15">
      <c r="A29" s="60"/>
      <c r="B29" s="60"/>
      <c r="C29" s="60"/>
      <c r="D29" s="60"/>
      <c r="E29" s="60"/>
      <c r="F29" s="60"/>
      <c r="G29" s="60"/>
      <c r="H29" s="60"/>
      <c r="I29" s="60"/>
    </row>
    <row r="30" spans="1:15">
      <c r="G30" s="208" t="s">
        <v>60</v>
      </c>
      <c r="H30" s="208"/>
      <c r="I30" s="55">
        <v>2012</v>
      </c>
      <c r="J30" s="55">
        <v>2013</v>
      </c>
      <c r="K30" s="55">
        <v>2014</v>
      </c>
      <c r="L30" s="55">
        <v>2015</v>
      </c>
      <c r="M30" s="55">
        <v>2016</v>
      </c>
      <c r="N30" s="55">
        <v>2017</v>
      </c>
    </row>
    <row r="31" spans="1:15">
      <c r="G31" s="202" t="s">
        <v>95</v>
      </c>
      <c r="H31" s="203"/>
      <c r="I31" s="56">
        <f t="shared" ref="I31:N31" si="7">D8</f>
        <v>0</v>
      </c>
      <c r="J31" s="56">
        <f t="shared" si="7"/>
        <v>29694.661899999999</v>
      </c>
      <c r="K31" s="56">
        <f t="shared" si="7"/>
        <v>22270.995900000002</v>
      </c>
      <c r="L31" s="56">
        <f t="shared" si="7"/>
        <v>14847.329900000001</v>
      </c>
      <c r="M31" s="56">
        <f t="shared" si="7"/>
        <v>7423.6638999999996</v>
      </c>
      <c r="N31" s="56">
        <f t="shared" si="7"/>
        <v>-2.1000000015192199E-3</v>
      </c>
    </row>
    <row r="32" spans="1:15">
      <c r="G32" s="202" t="s">
        <v>96</v>
      </c>
      <c r="H32" s="203"/>
      <c r="I32" s="56">
        <f t="shared" ref="I32:N32" si="8">D13</f>
        <v>27000</v>
      </c>
      <c r="J32" s="56">
        <f t="shared" si="8"/>
        <v>7591.5219999999999</v>
      </c>
      <c r="K32" s="56">
        <f t="shared" si="8"/>
        <v>34972.001000000004</v>
      </c>
      <c r="L32" s="56">
        <f t="shared" si="8"/>
        <v>36734.53</v>
      </c>
      <c r="M32" s="56">
        <f t="shared" si="8"/>
        <v>24386.249999999993</v>
      </c>
      <c r="N32" s="56">
        <f t="shared" si="8"/>
        <v>29526.01</v>
      </c>
    </row>
    <row r="34" spans="4:15">
      <c r="G34" s="202" t="s">
        <v>100</v>
      </c>
      <c r="H34" s="202"/>
      <c r="I34" s="55">
        <v>2012</v>
      </c>
      <c r="J34" s="55">
        <v>2013</v>
      </c>
      <c r="K34" s="55">
        <v>2014</v>
      </c>
      <c r="L34" s="55">
        <v>2015</v>
      </c>
      <c r="M34" s="55">
        <v>2016</v>
      </c>
      <c r="N34" s="55">
        <v>2017</v>
      </c>
    </row>
    <row r="35" spans="4:15">
      <c r="G35" s="202" t="s">
        <v>97</v>
      </c>
      <c r="H35" s="203"/>
      <c r="I35" s="56">
        <f t="shared" ref="I35:N35" si="9">D19</f>
        <v>7000</v>
      </c>
      <c r="J35" s="56">
        <f t="shared" si="9"/>
        <v>16562.02</v>
      </c>
      <c r="K35" s="56">
        <f t="shared" si="9"/>
        <v>38947.616900000008</v>
      </c>
      <c r="L35" s="56">
        <f t="shared" si="9"/>
        <v>34429.529899999994</v>
      </c>
      <c r="M35" s="56">
        <f t="shared" si="9"/>
        <v>19210.74389999999</v>
      </c>
      <c r="N35" s="56">
        <f t="shared" si="9"/>
        <v>18784.337899999999</v>
      </c>
    </row>
    <row r="36" spans="4:15">
      <c r="G36" s="202" t="s">
        <v>98</v>
      </c>
      <c r="H36" s="203"/>
      <c r="I36" s="56">
        <f t="shared" ref="I36:N36" si="10">D22</f>
        <v>16000</v>
      </c>
      <c r="J36" s="56">
        <f t="shared" si="10"/>
        <v>12000</v>
      </c>
      <c r="K36" s="56">
        <f t="shared" si="10"/>
        <v>8000</v>
      </c>
      <c r="L36" s="56">
        <f t="shared" si="10"/>
        <v>4000</v>
      </c>
      <c r="M36" s="56">
        <f t="shared" si="10"/>
        <v>0</v>
      </c>
      <c r="N36" s="56">
        <f t="shared" si="10"/>
        <v>0</v>
      </c>
    </row>
    <row r="37" spans="4:15">
      <c r="G37" s="202" t="s">
        <v>99</v>
      </c>
      <c r="H37" s="203"/>
      <c r="I37" s="56">
        <f t="shared" ref="I37:N37" si="11">D24</f>
        <v>4000</v>
      </c>
      <c r="J37" s="56">
        <f t="shared" si="11"/>
        <v>8724.16</v>
      </c>
      <c r="K37" s="56">
        <f t="shared" si="11"/>
        <v>10295.380000000001</v>
      </c>
      <c r="L37" s="56">
        <f t="shared" si="11"/>
        <v>13152.33</v>
      </c>
      <c r="M37" s="56">
        <f t="shared" si="11"/>
        <v>12599.17</v>
      </c>
      <c r="N37" s="56">
        <f t="shared" si="11"/>
        <v>10741.67</v>
      </c>
    </row>
    <row r="38" spans="4:15" ht="15.75" thickBot="1"/>
    <row r="39" spans="4:15">
      <c r="D39" s="204" t="s">
        <v>60</v>
      </c>
      <c r="E39" s="205"/>
      <c r="N39" s="204" t="s">
        <v>137</v>
      </c>
      <c r="O39" s="205"/>
    </row>
    <row r="40" spans="4:15" ht="15.75" thickBot="1">
      <c r="D40" s="206"/>
      <c r="E40" s="207"/>
      <c r="N40" s="206"/>
      <c r="O40" s="207"/>
    </row>
  </sheetData>
  <mergeCells count="32">
    <mergeCell ref="A21:C21"/>
    <mergeCell ref="A14:C14"/>
    <mergeCell ref="G31:H31"/>
    <mergeCell ref="D39:E40"/>
    <mergeCell ref="N39:O40"/>
    <mergeCell ref="G37:H37"/>
    <mergeCell ref="G30:H30"/>
    <mergeCell ref="G32:H32"/>
    <mergeCell ref="G34:H34"/>
    <mergeCell ref="G35:H35"/>
    <mergeCell ref="G36:H36"/>
    <mergeCell ref="A9:C9"/>
    <mergeCell ref="A11:C11"/>
    <mergeCell ref="A13:C13"/>
    <mergeCell ref="A10:C10"/>
    <mergeCell ref="A15:C15"/>
    <mergeCell ref="A2:I3"/>
    <mergeCell ref="A27:C27"/>
    <mergeCell ref="A24:C24"/>
    <mergeCell ref="A25:C25"/>
    <mergeCell ref="A26:C26"/>
    <mergeCell ref="A22:C22"/>
    <mergeCell ref="A23:C23"/>
    <mergeCell ref="A19:C19"/>
    <mergeCell ref="A20:C20"/>
    <mergeCell ref="A17:C17"/>
    <mergeCell ref="A16:C16"/>
    <mergeCell ref="A18:C18"/>
    <mergeCell ref="A12:C12"/>
    <mergeCell ref="A6:C6"/>
    <mergeCell ref="A7:C7"/>
    <mergeCell ref="A8:C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H25"/>
  <sheetViews>
    <sheetView topLeftCell="A16" zoomScaleNormal="100" workbookViewId="0">
      <selection activeCell="N21" sqref="I21:N21"/>
    </sheetView>
  </sheetViews>
  <sheetFormatPr defaultColWidth="11.42578125" defaultRowHeight="15"/>
  <cols>
    <col min="5" max="8" width="11.5703125" bestFit="1" customWidth="1"/>
  </cols>
  <sheetData>
    <row r="2" spans="1:8" s="4" customFormat="1" ht="31.5">
      <c r="A2" s="166" t="s">
        <v>107</v>
      </c>
      <c r="B2" s="166"/>
      <c r="C2" s="166"/>
      <c r="D2" s="166"/>
      <c r="E2" s="166"/>
    </row>
    <row r="3" spans="1:8" s="2" customFormat="1">
      <c r="A3" s="166"/>
      <c r="B3" s="166"/>
      <c r="C3" s="166"/>
      <c r="D3" s="166"/>
      <c r="E3" s="166"/>
    </row>
    <row r="7" spans="1:8" ht="15.75" thickBot="1"/>
    <row r="8" spans="1:8" ht="15.75" thickBot="1">
      <c r="E8" s="210" t="s">
        <v>143</v>
      </c>
      <c r="F8" s="211"/>
      <c r="G8" s="211"/>
      <c r="H8" s="212"/>
    </row>
    <row r="9" spans="1:8" ht="16.5" thickTop="1" thickBot="1">
      <c r="E9" s="213"/>
      <c r="F9" s="214"/>
      <c r="G9" s="214"/>
      <c r="H9" s="215"/>
    </row>
    <row r="11" spans="1:8">
      <c r="A11" s="216" t="s">
        <v>71</v>
      </c>
      <c r="B11" s="216"/>
      <c r="C11" s="217"/>
      <c r="D11" s="45" t="s">
        <v>66</v>
      </c>
      <c r="E11" s="42">
        <v>-0.2</v>
      </c>
      <c r="F11" s="42">
        <v>-0.3</v>
      </c>
      <c r="G11" s="42">
        <v>0.1</v>
      </c>
      <c r="H11" s="42">
        <v>0.15</v>
      </c>
    </row>
    <row r="12" spans="1:8">
      <c r="A12" s="199" t="s">
        <v>67</v>
      </c>
      <c r="B12" s="200"/>
      <c r="C12" s="200"/>
      <c r="D12" s="57">
        <f>'4'!F17</f>
        <v>57242.996900000006</v>
      </c>
      <c r="E12" s="52">
        <f>D12*0.8</f>
        <v>45794.397520000006</v>
      </c>
      <c r="F12" s="52">
        <f>D12*0.7</f>
        <v>40070.097829999999</v>
      </c>
      <c r="G12" s="52">
        <f>D12*1.1</f>
        <v>62967.296590000013</v>
      </c>
      <c r="H12" s="52">
        <f>D12*1.15</f>
        <v>65829.446435000005</v>
      </c>
    </row>
    <row r="13" spans="1:8">
      <c r="A13" s="199" t="s">
        <v>68</v>
      </c>
      <c r="B13" s="200"/>
      <c r="C13" s="200"/>
      <c r="D13" s="57">
        <f>'4'!F19</f>
        <v>38947.616900000008</v>
      </c>
      <c r="E13" s="52">
        <f t="shared" ref="E13:E19" si="0">D13*0.8</f>
        <v>31158.093520000009</v>
      </c>
      <c r="F13" s="52">
        <f t="shared" ref="F13:F19" si="1">D13*0.7</f>
        <v>27263.331830000003</v>
      </c>
      <c r="G13" s="52">
        <f t="shared" ref="G13:G19" si="2">D13*1.1</f>
        <v>42842.378590000015</v>
      </c>
      <c r="H13" s="52">
        <f t="shared" ref="H13:H19" si="3">D13*1.15</f>
        <v>44789.759435000007</v>
      </c>
    </row>
    <row r="14" spans="1:8">
      <c r="A14" s="199" t="s">
        <v>138</v>
      </c>
      <c r="B14" s="200"/>
      <c r="C14" s="200"/>
      <c r="D14" s="57">
        <f>'4'!F27</f>
        <v>57242.996900000013</v>
      </c>
      <c r="E14" s="52">
        <f t="shared" si="0"/>
        <v>45794.397520000013</v>
      </c>
      <c r="F14" s="52">
        <f t="shared" si="1"/>
        <v>40070.097830000006</v>
      </c>
      <c r="G14" s="52">
        <f t="shared" si="2"/>
        <v>62967.29659000002</v>
      </c>
      <c r="H14" s="52">
        <f t="shared" si="3"/>
        <v>65829.446435000005</v>
      </c>
    </row>
    <row r="15" spans="1:8">
      <c r="A15" s="199" t="s">
        <v>139</v>
      </c>
      <c r="B15" s="200"/>
      <c r="C15" s="209"/>
      <c r="D15" s="57">
        <f>'3'!D13:F13</f>
        <v>111724.13319200001</v>
      </c>
      <c r="E15" s="52">
        <f t="shared" si="0"/>
        <v>89379.306553600007</v>
      </c>
      <c r="F15" s="52">
        <f t="shared" si="1"/>
        <v>78206.893234400006</v>
      </c>
      <c r="G15" s="52">
        <f t="shared" si="2"/>
        <v>122896.54651120002</v>
      </c>
      <c r="H15" s="52">
        <f t="shared" si="3"/>
        <v>128482.7531708</v>
      </c>
    </row>
    <row r="16" spans="1:8">
      <c r="A16" s="199" t="s">
        <v>140</v>
      </c>
      <c r="B16" s="200"/>
      <c r="C16" s="209"/>
      <c r="D16" s="57">
        <f>('3'!D18)+'3'!D19</f>
        <v>67824.715484245491</v>
      </c>
      <c r="E16" s="52">
        <f t="shared" si="0"/>
        <v>54259.772387396399</v>
      </c>
      <c r="F16" s="52">
        <f t="shared" si="1"/>
        <v>47477.300838971838</v>
      </c>
      <c r="G16" s="52">
        <f t="shared" si="2"/>
        <v>74607.187032670045</v>
      </c>
      <c r="H16" s="52">
        <f t="shared" si="3"/>
        <v>77998.422806882314</v>
      </c>
    </row>
    <row r="17" spans="1:8">
      <c r="A17" s="199" t="s">
        <v>69</v>
      </c>
      <c r="B17" s="200"/>
      <c r="C17" s="209"/>
      <c r="D17" s="57">
        <f>D15-D16</f>
        <v>43899.417707754517</v>
      </c>
      <c r="E17" s="52">
        <f t="shared" si="0"/>
        <v>35119.534166203615</v>
      </c>
      <c r="F17" s="52">
        <f t="shared" si="1"/>
        <v>30729.592395428161</v>
      </c>
      <c r="G17" s="52">
        <f t="shared" si="2"/>
        <v>48289.359478529972</v>
      </c>
      <c r="H17" s="52">
        <f t="shared" si="3"/>
        <v>50484.330363917688</v>
      </c>
    </row>
    <row r="18" spans="1:8">
      <c r="A18" s="199" t="s">
        <v>84</v>
      </c>
      <c r="B18" s="200"/>
      <c r="C18" s="209"/>
      <c r="D18" s="57">
        <f>'3'!D44:F44</f>
        <v>25199.417707754517</v>
      </c>
      <c r="E18" s="52">
        <f t="shared" si="0"/>
        <v>20159.534166203615</v>
      </c>
      <c r="F18" s="52">
        <f t="shared" si="1"/>
        <v>17639.592395428161</v>
      </c>
      <c r="G18" s="52">
        <f t="shared" si="2"/>
        <v>27719.359478529972</v>
      </c>
      <c r="H18" s="52">
        <f t="shared" si="3"/>
        <v>28979.330363917692</v>
      </c>
    </row>
    <row r="19" spans="1:8">
      <c r="A19" s="199" t="s">
        <v>57</v>
      </c>
      <c r="B19" s="200"/>
      <c r="C19" s="209"/>
      <c r="D19" s="57">
        <f>'3'!M44</f>
        <v>19907.539989126068</v>
      </c>
      <c r="E19" s="52">
        <f t="shared" si="0"/>
        <v>15926.031991300855</v>
      </c>
      <c r="F19" s="52">
        <f t="shared" si="1"/>
        <v>13935.277992388246</v>
      </c>
      <c r="G19" s="52">
        <f t="shared" si="2"/>
        <v>21898.293988038677</v>
      </c>
      <c r="H19" s="52">
        <f t="shared" si="3"/>
        <v>22893.670987494977</v>
      </c>
    </row>
    <row r="20" spans="1:8">
      <c r="A20" s="199" t="s">
        <v>72</v>
      </c>
      <c r="B20" s="200"/>
      <c r="C20" s="209"/>
      <c r="D20" s="58">
        <f>('2'!D55)/'2'!D32</f>
        <v>60.658711694918743</v>
      </c>
      <c r="E20" s="53">
        <f>D20*0.8</f>
        <v>48.526969355934995</v>
      </c>
      <c r="F20" s="53">
        <f>D20*0.7</f>
        <v>42.461098186443117</v>
      </c>
      <c r="G20" s="53">
        <f>D20*1.1</f>
        <v>66.724582864410621</v>
      </c>
      <c r="H20" s="53">
        <f>D20*1.15</f>
        <v>69.757518449156549</v>
      </c>
    </row>
    <row r="21" spans="1:8">
      <c r="A21" s="199" t="s">
        <v>141</v>
      </c>
      <c r="B21" s="200"/>
      <c r="C21" s="209"/>
      <c r="D21" s="59">
        <f>'2'!D32</f>
        <v>761</v>
      </c>
      <c r="E21" s="54">
        <f>D21*0.8</f>
        <v>608.80000000000007</v>
      </c>
      <c r="F21" s="54">
        <f t="shared" ref="F21:F25" si="4">D21*0.7</f>
        <v>532.69999999999993</v>
      </c>
      <c r="G21" s="54">
        <f t="shared" ref="G21:G25" si="5">D21*1.1</f>
        <v>837.1</v>
      </c>
      <c r="H21" s="54">
        <f t="shared" ref="H21:H25" si="6">D21*1.15</f>
        <v>875.15</v>
      </c>
    </row>
    <row r="22" spans="1:8">
      <c r="A22" s="199" t="s">
        <v>73</v>
      </c>
      <c r="B22" s="200"/>
      <c r="C22" s="209"/>
      <c r="D22" s="58">
        <f>'2'!D55</f>
        <v>46161.279599833164</v>
      </c>
      <c r="E22" s="53">
        <f t="shared" ref="E22:E25" si="7">D22*0.8</f>
        <v>36929.023679866536</v>
      </c>
      <c r="F22" s="53">
        <f t="shared" si="4"/>
        <v>32312.895719883214</v>
      </c>
      <c r="G22" s="53">
        <f t="shared" si="5"/>
        <v>50777.407559816485</v>
      </c>
      <c r="H22" s="53">
        <f t="shared" si="6"/>
        <v>53085.471539808132</v>
      </c>
    </row>
    <row r="23" spans="1:8">
      <c r="A23" s="199" t="s">
        <v>74</v>
      </c>
      <c r="B23" s="200"/>
      <c r="C23" s="209"/>
      <c r="D23" s="58">
        <v>300</v>
      </c>
      <c r="E23" s="53">
        <f t="shared" si="7"/>
        <v>240</v>
      </c>
      <c r="F23" s="53">
        <f t="shared" si="4"/>
        <v>210</v>
      </c>
      <c r="G23" s="53">
        <f t="shared" si="5"/>
        <v>330</v>
      </c>
      <c r="H23" s="53">
        <f t="shared" si="6"/>
        <v>345</v>
      </c>
    </row>
    <row r="24" spans="1:8">
      <c r="A24" s="199" t="s">
        <v>142</v>
      </c>
      <c r="B24" s="200"/>
      <c r="C24" s="209"/>
      <c r="D24" s="58">
        <v>0</v>
      </c>
      <c r="E24" s="53">
        <f t="shared" si="7"/>
        <v>0</v>
      </c>
      <c r="F24" s="53">
        <f t="shared" si="4"/>
        <v>0</v>
      </c>
      <c r="G24" s="53">
        <f t="shared" si="5"/>
        <v>0</v>
      </c>
      <c r="H24" s="53">
        <f t="shared" si="6"/>
        <v>0</v>
      </c>
    </row>
    <row r="25" spans="1:8">
      <c r="A25" s="199" t="s">
        <v>70</v>
      </c>
      <c r="B25" s="200"/>
      <c r="C25" s="209"/>
      <c r="D25" s="58">
        <f>'3'!D44:F44</f>
        <v>25199.417707754517</v>
      </c>
      <c r="E25" s="53">
        <f t="shared" si="7"/>
        <v>20159.534166203615</v>
      </c>
      <c r="F25" s="53">
        <f t="shared" si="4"/>
        <v>17639.592395428161</v>
      </c>
      <c r="G25" s="53">
        <f t="shared" si="5"/>
        <v>27719.359478529972</v>
      </c>
      <c r="H25" s="53">
        <f t="shared" si="6"/>
        <v>28979.330363917692</v>
      </c>
    </row>
  </sheetData>
  <mergeCells count="17">
    <mergeCell ref="A17:C17"/>
    <mergeCell ref="A2:E3"/>
    <mergeCell ref="E8:H9"/>
    <mergeCell ref="A23:C23"/>
    <mergeCell ref="A24:C24"/>
    <mergeCell ref="A11:C11"/>
    <mergeCell ref="A12:C12"/>
    <mergeCell ref="A13:C13"/>
    <mergeCell ref="A14:C14"/>
    <mergeCell ref="A15:C15"/>
    <mergeCell ref="A16:C16"/>
    <mergeCell ref="A25:C25"/>
    <mergeCell ref="A20:C20"/>
    <mergeCell ref="A21:C21"/>
    <mergeCell ref="A22:C22"/>
    <mergeCell ref="A18:C18"/>
    <mergeCell ref="A19:C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INDEX</vt:lpstr>
      <vt:lpstr>1</vt:lpstr>
      <vt:lpstr>2</vt:lpstr>
      <vt:lpstr>3</vt:lpstr>
      <vt:lpstr>4</vt:lpstr>
      <vt:lpstr>5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becaris bib340</cp:lastModifiedBy>
  <dcterms:created xsi:type="dcterms:W3CDTF">2012-10-26T12:51:46Z</dcterms:created>
  <dcterms:modified xsi:type="dcterms:W3CDTF">2013-05-09T15:11:02Z</dcterms:modified>
</cp:coreProperties>
</file>